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andresbarrezueta/Downloads/RE_ Proyecto de documento de respuesta, adenda y Anexo Convocatoria Pública No. 33 de 2022 - Vigilancia. /"/>
    </mc:Choice>
  </mc:AlternateContent>
  <xr:revisionPtr revIDLastSave="0" documentId="13_ncr:1_{7863E721-7586-1A4D-85DF-C07CF33A787F}" xr6:coauthVersionLast="47" xr6:coauthVersionMax="47" xr10:uidLastSave="{00000000-0000-0000-0000-000000000000}"/>
  <bookViews>
    <workbookView xWindow="0" yWindow="500" windowWidth="28800" windowHeight="12220" activeTab="8" xr2:uid="{00000000-000D-0000-FFFF-FFFF00000000}"/>
  </bookViews>
  <sheets>
    <sheet name="2022" sheetId="6" state="hidden" r:id="rId1"/>
    <sheet name="2022 (2)" sheetId="7" state="hidden" r:id="rId2"/>
    <sheet name="Formula Circular Nº 145" sheetId="10" state="hidden" r:id="rId3"/>
    <sheet name="Circular" sheetId="11" state="hidden" r:id="rId4"/>
    <sheet name="Servicios CLASE" sheetId="12" r:id="rId5"/>
    <sheet name="Servicios NO clase " sheetId="13" r:id="rId6"/>
    <sheet name="PROFORMA 5 ANEXO 1" sheetId="15" r:id="rId7"/>
    <sheet name="PROFORMA 5 ANEXO 2" sheetId="14" r:id="rId8"/>
    <sheet name="PROFORMA 5" sheetId="8" r:id="rId9"/>
  </sheets>
  <externalReferences>
    <externalReference r:id="rId10"/>
  </externalReferenc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8" l="1"/>
  <c r="E35" i="8" s="1"/>
  <c r="G35" i="8" s="1"/>
  <c r="H35" i="8" s="1"/>
  <c r="I35" i="8" s="1"/>
  <c r="E19" i="8"/>
  <c r="G19" i="8" s="1"/>
  <c r="H19" i="8" s="1"/>
  <c r="I19" i="8" s="1"/>
  <c r="E11" i="8"/>
  <c r="E12" i="8"/>
  <c r="E13" i="8"/>
  <c r="E14" i="8"/>
  <c r="E15" i="8"/>
  <c r="E16" i="8"/>
  <c r="E17" i="8"/>
  <c r="E10" i="8"/>
  <c r="E34" i="8" l="1"/>
  <c r="G34" i="8" s="1"/>
  <c r="H34" i="8" s="1"/>
  <c r="I34" i="8" s="1"/>
  <c r="B21" i="10" l="1"/>
  <c r="B22" i="10"/>
  <c r="E45" i="15" l="1"/>
  <c r="C31" i="15"/>
  <c r="C45" i="15" s="1"/>
  <c r="C58" i="15" s="1"/>
  <c r="F17" i="15"/>
  <c r="G17" i="15" s="1"/>
  <c r="H17" i="15" s="1"/>
  <c r="I17" i="15" s="1"/>
  <c r="E29" i="15"/>
  <c r="E31" i="8" s="1"/>
  <c r="E28" i="15"/>
  <c r="E30" i="8" s="1"/>
  <c r="E27" i="15"/>
  <c r="F13" i="15"/>
  <c r="F12" i="15"/>
  <c r="F11" i="15"/>
  <c r="F10" i="15"/>
  <c r="K50" i="13"/>
  <c r="F10" i="14"/>
  <c r="C33" i="8"/>
  <c r="C49" i="8" s="1"/>
  <c r="C64" i="8" s="1"/>
  <c r="B23" i="10"/>
  <c r="B16" i="10"/>
  <c r="E41" i="15" l="1"/>
  <c r="E45" i="8" s="1"/>
  <c r="E29" i="8"/>
  <c r="F14" i="15"/>
  <c r="G14" i="15" s="1"/>
  <c r="H14" i="15" s="1"/>
  <c r="I14" i="15" s="1"/>
  <c r="E23" i="15"/>
  <c r="E25" i="8" s="1"/>
  <c r="E24" i="15"/>
  <c r="E30" i="15"/>
  <c r="E32" i="8" s="1"/>
  <c r="E54" i="15"/>
  <c r="F29" i="15"/>
  <c r="E43" i="15"/>
  <c r="E47" i="8" s="1"/>
  <c r="G12" i="15"/>
  <c r="H12" i="15" s="1"/>
  <c r="I12" i="15" s="1"/>
  <c r="G10" i="15"/>
  <c r="H10" i="15" s="1"/>
  <c r="I10" i="15" s="1"/>
  <c r="G13" i="15"/>
  <c r="H13" i="15" s="1"/>
  <c r="I13" i="15" s="1"/>
  <c r="G11" i="15"/>
  <c r="H11" i="15" s="1"/>
  <c r="I11" i="15" s="1"/>
  <c r="E42" i="15"/>
  <c r="E46" i="8" s="1"/>
  <c r="F28" i="15"/>
  <c r="E26" i="15"/>
  <c r="E28" i="8" s="1"/>
  <c r="F16" i="15"/>
  <c r="F27" i="15"/>
  <c r="F15" i="15"/>
  <c r="E25" i="15"/>
  <c r="E27" i="8" s="1"/>
  <c r="G10" i="14"/>
  <c r="H10" i="14" s="1"/>
  <c r="J10" i="14" s="1"/>
  <c r="E15" i="14"/>
  <c r="F15" i="14" l="1"/>
  <c r="G15" i="14" s="1"/>
  <c r="H15" i="14" s="1"/>
  <c r="J15" i="14" s="1"/>
  <c r="E66" i="8"/>
  <c r="E51" i="8"/>
  <c r="G51" i="8" s="1"/>
  <c r="H51" i="8" s="1"/>
  <c r="I51" i="8" s="1"/>
  <c r="E38" i="15"/>
  <c r="E26" i="8"/>
  <c r="F41" i="15"/>
  <c r="F54" i="15"/>
  <c r="E60" i="8"/>
  <c r="F24" i="15"/>
  <c r="G24" i="15" s="1"/>
  <c r="H24" i="15" s="1"/>
  <c r="I24" i="15" s="1"/>
  <c r="F38" i="15"/>
  <c r="F30" i="15"/>
  <c r="G30" i="15" s="1"/>
  <c r="H30" i="15" s="1"/>
  <c r="I30" i="15" s="1"/>
  <c r="E44" i="15"/>
  <c r="E48" i="8" s="1"/>
  <c r="F23" i="15"/>
  <c r="G23" i="15" s="1"/>
  <c r="H23" i="15" s="1"/>
  <c r="I23" i="15" s="1"/>
  <c r="E37" i="15"/>
  <c r="E55" i="15"/>
  <c r="F42" i="15"/>
  <c r="G28" i="15"/>
  <c r="H28" i="15" s="1"/>
  <c r="I28" i="15" s="1"/>
  <c r="E56" i="15"/>
  <c r="F43" i="15"/>
  <c r="G29" i="15"/>
  <c r="H29" i="15" s="1"/>
  <c r="I29" i="15" s="1"/>
  <c r="F25" i="15"/>
  <c r="E39" i="15"/>
  <c r="E43" i="8" s="1"/>
  <c r="G27" i="15"/>
  <c r="H27" i="15" s="1"/>
  <c r="I27" i="15" s="1"/>
  <c r="F26" i="15"/>
  <c r="E40" i="15"/>
  <c r="E44" i="8" s="1"/>
  <c r="G41" i="15"/>
  <c r="H41" i="15" s="1"/>
  <c r="I41" i="15" s="1"/>
  <c r="G15" i="15"/>
  <c r="H15" i="15" s="1"/>
  <c r="I15" i="15" s="1"/>
  <c r="G16" i="15"/>
  <c r="H16" i="15" s="1"/>
  <c r="I16" i="15" s="1"/>
  <c r="G38" i="15"/>
  <c r="H38" i="15" s="1"/>
  <c r="I38" i="15" s="1"/>
  <c r="G54" i="15"/>
  <c r="H54" i="15" s="1"/>
  <c r="I54" i="15" s="1"/>
  <c r="A22" i="10"/>
  <c r="A21" i="10"/>
  <c r="D34" i="8"/>
  <c r="C60" i="13"/>
  <c r="D51" i="8"/>
  <c r="D11" i="8"/>
  <c r="D42" i="8" s="1"/>
  <c r="D50" i="12"/>
  <c r="D11" i="15" s="1"/>
  <c r="D38" i="15" s="1"/>
  <c r="K11" i="15" l="1"/>
  <c r="K38" i="15"/>
  <c r="F56" i="15"/>
  <c r="E62" i="8"/>
  <c r="F55" i="15"/>
  <c r="G55" i="15" s="1"/>
  <c r="H55" i="15" s="1"/>
  <c r="I55" i="15" s="1"/>
  <c r="E61" i="8"/>
  <c r="E50" i="15"/>
  <c r="E56" i="8" s="1"/>
  <c r="E41" i="8"/>
  <c r="E51" i="15"/>
  <c r="E42" i="8"/>
  <c r="F37" i="15"/>
  <c r="G37" i="15" s="1"/>
  <c r="H37" i="15" s="1"/>
  <c r="I37" i="15" s="1"/>
  <c r="E57" i="15"/>
  <c r="F44" i="15"/>
  <c r="G44" i="15" s="1"/>
  <c r="H44" i="15" s="1"/>
  <c r="I44" i="15" s="1"/>
  <c r="E52" i="15"/>
  <c r="F39" i="15"/>
  <c r="G25" i="15"/>
  <c r="H25" i="15" s="1"/>
  <c r="I25" i="15" s="1"/>
  <c r="G42" i="15"/>
  <c r="H42" i="15" s="1"/>
  <c r="I42" i="15" s="1"/>
  <c r="G26" i="15"/>
  <c r="H26" i="15" s="1"/>
  <c r="I26" i="15" s="1"/>
  <c r="G43" i="15"/>
  <c r="H43" i="15" s="1"/>
  <c r="I43" i="15" s="1"/>
  <c r="G56" i="15"/>
  <c r="H56" i="15" s="1"/>
  <c r="I56" i="15" s="1"/>
  <c r="F40" i="15"/>
  <c r="E53" i="15"/>
  <c r="F53" i="15" l="1"/>
  <c r="E59" i="8"/>
  <c r="F51" i="15"/>
  <c r="G51" i="15" s="1"/>
  <c r="H51" i="15" s="1"/>
  <c r="I51" i="15" s="1"/>
  <c r="E57" i="8"/>
  <c r="F52" i="15"/>
  <c r="G52" i="15" s="1"/>
  <c r="H52" i="15" s="1"/>
  <c r="I52" i="15" s="1"/>
  <c r="E58" i="8"/>
  <c r="F57" i="15"/>
  <c r="G57" i="15" s="1"/>
  <c r="H57" i="15" s="1"/>
  <c r="I57" i="15" s="1"/>
  <c r="E63" i="8"/>
  <c r="F50" i="15"/>
  <c r="G50" i="15" s="1"/>
  <c r="H50" i="15" s="1"/>
  <c r="I50" i="15" s="1"/>
  <c r="G39" i="15"/>
  <c r="H39" i="15" s="1"/>
  <c r="I39" i="15" s="1"/>
  <c r="G53" i="15"/>
  <c r="H53" i="15" s="1"/>
  <c r="I53" i="15" s="1"/>
  <c r="G40" i="15"/>
  <c r="H40" i="15" s="1"/>
  <c r="I40" i="15" s="1"/>
  <c r="B20" i="10"/>
  <c r="B19" i="10"/>
  <c r="B18" i="10"/>
  <c r="B17" i="10"/>
  <c r="B15" i="10"/>
  <c r="A23" i="10"/>
  <c r="A20" i="10"/>
  <c r="A19" i="10"/>
  <c r="A18" i="10"/>
  <c r="A17" i="10"/>
  <c r="A16" i="10"/>
  <c r="A15" i="10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6" i="12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6" i="13"/>
  <c r="D50" i="13"/>
  <c r="C53" i="13" s="1"/>
  <c r="E50" i="13"/>
  <c r="C54" i="13" s="1"/>
  <c r="F50" i="13"/>
  <c r="C55" i="13" s="1"/>
  <c r="G50" i="13"/>
  <c r="C56" i="13" s="1"/>
  <c r="H50" i="13"/>
  <c r="C57" i="13" s="1"/>
  <c r="D28" i="15" s="1"/>
  <c r="I50" i="13"/>
  <c r="C58" i="13" s="1"/>
  <c r="J50" i="13"/>
  <c r="C59" i="13" s="1"/>
  <c r="C50" i="13"/>
  <c r="C52" i="13" s="1"/>
  <c r="E50" i="12"/>
  <c r="F50" i="12"/>
  <c r="G50" i="12"/>
  <c r="H50" i="12"/>
  <c r="I50" i="12"/>
  <c r="J50" i="12"/>
  <c r="K50" i="12"/>
  <c r="D19" i="8" s="1"/>
  <c r="D50" i="8" s="1"/>
  <c r="C50" i="12"/>
  <c r="D14" i="15" l="1"/>
  <c r="D14" i="8"/>
  <c r="D45" i="8" s="1"/>
  <c r="D26" i="15"/>
  <c r="D28" i="8"/>
  <c r="D59" i="8" s="1"/>
  <c r="D17" i="15"/>
  <c r="D17" i="8"/>
  <c r="D48" i="8" s="1"/>
  <c r="D25" i="15"/>
  <c r="D27" i="8"/>
  <c r="D58" i="8" s="1"/>
  <c r="D16" i="15"/>
  <c r="D16" i="8"/>
  <c r="D47" i="8" s="1"/>
  <c r="D12" i="15"/>
  <c r="D12" i="8"/>
  <c r="D43" i="8" s="1"/>
  <c r="D55" i="15"/>
  <c r="K55" i="15" s="1"/>
  <c r="K28" i="15"/>
  <c r="D24" i="15"/>
  <c r="D26" i="8"/>
  <c r="D57" i="8" s="1"/>
  <c r="D30" i="15"/>
  <c r="D32" i="8"/>
  <c r="D63" i="8" s="1"/>
  <c r="D13" i="15"/>
  <c r="D13" i="8"/>
  <c r="D44" i="8" s="1"/>
  <c r="D29" i="15"/>
  <c r="D31" i="8"/>
  <c r="D62" i="8" s="1"/>
  <c r="D10" i="15"/>
  <c r="D10" i="8"/>
  <c r="D15" i="15"/>
  <c r="D15" i="8"/>
  <c r="D46" i="8" s="1"/>
  <c r="D23" i="15"/>
  <c r="D25" i="8"/>
  <c r="D56" i="8" s="1"/>
  <c r="D64" i="8" s="1"/>
  <c r="D27" i="15"/>
  <c r="D29" i="8"/>
  <c r="D60" i="8" s="1"/>
  <c r="C61" i="13"/>
  <c r="D30" i="8"/>
  <c r="D61" i="8" s="1"/>
  <c r="L50" i="12"/>
  <c r="L50" i="13"/>
  <c r="C7" i="10"/>
  <c r="C9" i="10" s="1"/>
  <c r="D31" i="15" l="1"/>
  <c r="D50" i="15"/>
  <c r="K23" i="15"/>
  <c r="D18" i="15"/>
  <c r="D37" i="15"/>
  <c r="K10" i="15"/>
  <c r="D57" i="15"/>
  <c r="K57" i="15" s="1"/>
  <c r="K30" i="15"/>
  <c r="D40" i="15"/>
  <c r="K40" i="15" s="1"/>
  <c r="K13" i="15"/>
  <c r="D43" i="15"/>
  <c r="K43" i="15" s="1"/>
  <c r="K16" i="15"/>
  <c r="D18" i="8"/>
  <c r="D41" i="8"/>
  <c r="D49" i="8" s="1"/>
  <c r="D56" i="15"/>
  <c r="K56" i="15" s="1"/>
  <c r="K29" i="15"/>
  <c r="D51" i="15"/>
  <c r="K51" i="15" s="1"/>
  <c r="K24" i="15"/>
  <c r="D39" i="15"/>
  <c r="K39" i="15" s="1"/>
  <c r="K12" i="15"/>
  <c r="D52" i="15"/>
  <c r="K52" i="15" s="1"/>
  <c r="K25" i="15"/>
  <c r="D53" i="15"/>
  <c r="K53" i="15" s="1"/>
  <c r="K26" i="15"/>
  <c r="D54" i="15"/>
  <c r="K54" i="15" s="1"/>
  <c r="K27" i="15"/>
  <c r="D42" i="15"/>
  <c r="K42" i="15" s="1"/>
  <c r="K15" i="15"/>
  <c r="D44" i="15"/>
  <c r="K44" i="15" s="1"/>
  <c r="K17" i="15"/>
  <c r="D41" i="15"/>
  <c r="K41" i="15" s="1"/>
  <c r="K14" i="15"/>
  <c r="C11" i="10"/>
  <c r="J18" i="10" s="1"/>
  <c r="C15" i="10"/>
  <c r="C16" i="10" s="1"/>
  <c r="C17" i="10" s="1"/>
  <c r="C18" i="10" s="1"/>
  <c r="C19" i="10" s="1"/>
  <c r="C21" i="10" s="1"/>
  <c r="C20" i="10" s="1"/>
  <c r="C22" i="10" s="1"/>
  <c r="C23" i="10" s="1"/>
  <c r="K32" i="15" l="1"/>
  <c r="K19" i="15"/>
  <c r="J62" i="15" s="1"/>
  <c r="D58" i="15"/>
  <c r="K50" i="15"/>
  <c r="K59" i="15" s="1"/>
  <c r="D45" i="15"/>
  <c r="K37" i="15"/>
  <c r="K46" i="15" s="1"/>
  <c r="J15" i="10"/>
  <c r="J17" i="10"/>
  <c r="M17" i="10" s="1"/>
  <c r="J22" i="10"/>
  <c r="M22" i="10" s="1"/>
  <c r="J21" i="10"/>
  <c r="M21" i="10" s="1"/>
  <c r="J20" i="10"/>
  <c r="M20" i="10" s="1"/>
  <c r="J23" i="10"/>
  <c r="M23" i="10" s="1"/>
  <c r="J19" i="10"/>
  <c r="J16" i="10"/>
  <c r="M15" i="10" l="1"/>
  <c r="K15" i="10"/>
  <c r="J63" i="15"/>
  <c r="J64" i="15" s="1"/>
  <c r="K23" i="10"/>
  <c r="N23" i="10" s="1"/>
  <c r="K18" i="10"/>
  <c r="K20" i="10"/>
  <c r="K21" i="10"/>
  <c r="K19" i="10"/>
  <c r="M19" i="10"/>
  <c r="M18" i="10"/>
  <c r="K22" i="10"/>
  <c r="K17" i="10"/>
  <c r="M16" i="10"/>
  <c r="K16" i="10"/>
  <c r="D33" i="8"/>
  <c r="N15" i="10" l="1"/>
  <c r="N19" i="10"/>
  <c r="N21" i="10"/>
  <c r="N16" i="10"/>
  <c r="N17" i="10"/>
  <c r="N20" i="10"/>
  <c r="N18" i="10"/>
  <c r="N22" i="10"/>
  <c r="F14" i="8"/>
  <c r="E49" i="8"/>
  <c r="F17" i="8" l="1"/>
  <c r="G17" i="8" s="1"/>
  <c r="H17" i="8" s="1"/>
  <c r="I17" i="8" s="1"/>
  <c r="K17" i="8" s="1"/>
  <c r="F11" i="8"/>
  <c r="G11" i="8" s="1"/>
  <c r="H11" i="8" s="1"/>
  <c r="I11" i="8" s="1"/>
  <c r="K11" i="8" s="1"/>
  <c r="F16" i="8"/>
  <c r="G16" i="8" s="1"/>
  <c r="H16" i="8" s="1"/>
  <c r="I16" i="8" s="1"/>
  <c r="K16" i="8" s="1"/>
  <c r="F10" i="8"/>
  <c r="G10" i="8" s="1"/>
  <c r="H10" i="8" s="1"/>
  <c r="I10" i="8" s="1"/>
  <c r="K10" i="8" s="1"/>
  <c r="G14" i="8"/>
  <c r="H14" i="8" s="1"/>
  <c r="I14" i="8" s="1"/>
  <c r="K14" i="8" s="1"/>
  <c r="G20" i="8"/>
  <c r="H20" i="8" s="1"/>
  <c r="I20" i="8" s="1"/>
  <c r="K20" i="8" s="1"/>
  <c r="G66" i="8"/>
  <c r="H66" i="8" s="1"/>
  <c r="I66" i="8" s="1"/>
  <c r="F25" i="8" l="1"/>
  <c r="K35" i="8"/>
  <c r="F12" i="8" l="1"/>
  <c r="G12" i="8" s="1"/>
  <c r="H12" i="8" s="1"/>
  <c r="I12" i="8" s="1"/>
  <c r="K12" i="8" s="1"/>
  <c r="F15" i="8"/>
  <c r="G15" i="8" s="1"/>
  <c r="H15" i="8" s="1"/>
  <c r="I15" i="8" s="1"/>
  <c r="K15" i="8" s="1"/>
  <c r="K51" i="8"/>
  <c r="F13" i="8"/>
  <c r="G13" i="8" s="1"/>
  <c r="H13" i="8" s="1"/>
  <c r="I13" i="8" s="1"/>
  <c r="K13" i="8" s="1"/>
  <c r="K100" i="6"/>
  <c r="E83" i="6"/>
  <c r="E100" i="6" s="1"/>
  <c r="D9" i="6"/>
  <c r="D10" i="6"/>
  <c r="D11" i="6"/>
  <c r="D12" i="6"/>
  <c r="D13" i="6"/>
  <c r="D14" i="6"/>
  <c r="D15" i="6"/>
  <c r="D16" i="6"/>
  <c r="D18" i="6"/>
  <c r="E110" i="7"/>
  <c r="G111" i="7" s="1"/>
  <c r="K122" i="7" s="1"/>
  <c r="D9" i="7"/>
  <c r="D10" i="7"/>
  <c r="D11" i="7"/>
  <c r="D12" i="7"/>
  <c r="D13" i="7"/>
  <c r="D14" i="7"/>
  <c r="D15" i="7"/>
  <c r="D16" i="7"/>
  <c r="D18" i="7"/>
  <c r="E34" i="7"/>
  <c r="E50" i="7" s="1"/>
  <c r="E65" i="7" s="1"/>
  <c r="E81" i="7" s="1"/>
  <c r="G19" i="7"/>
  <c r="H19" i="7" s="1"/>
  <c r="I19" i="7" s="1"/>
  <c r="K19" i="7" s="1"/>
  <c r="G34" i="7"/>
  <c r="H34" i="7"/>
  <c r="I34" i="7" s="1"/>
  <c r="K34" i="7" s="1"/>
  <c r="E79" i="7"/>
  <c r="G119" i="6"/>
  <c r="K127" i="6" s="1"/>
  <c r="E13" i="6" s="1"/>
  <c r="K123" i="6"/>
  <c r="E9" i="6" s="1"/>
  <c r="K129" i="6"/>
  <c r="E14" i="6"/>
  <c r="F14" i="6" s="1"/>
  <c r="K136" i="6"/>
  <c r="M136" i="6" s="1"/>
  <c r="N136" i="6" s="1"/>
  <c r="E34" i="6"/>
  <c r="E50" i="6" s="1"/>
  <c r="G50" i="6" s="1"/>
  <c r="H50" i="6" s="1"/>
  <c r="D115" i="7"/>
  <c r="D116" i="7" s="1"/>
  <c r="D117" i="7" s="1"/>
  <c r="D118" i="7" s="1"/>
  <c r="D119" i="7" s="1"/>
  <c r="D120" i="7" s="1"/>
  <c r="D121" i="7" s="1"/>
  <c r="D122" i="7" s="1"/>
  <c r="D123" i="7" s="1"/>
  <c r="G19" i="6"/>
  <c r="H19" i="6" s="1"/>
  <c r="I19" i="6" s="1"/>
  <c r="K19" i="6" s="1"/>
  <c r="G34" i="6"/>
  <c r="H34" i="6" s="1"/>
  <c r="I34" i="6" s="1"/>
  <c r="K34" i="6" s="1"/>
  <c r="D123" i="6"/>
  <c r="D124" i="6" s="1"/>
  <c r="D125" i="6" s="1"/>
  <c r="D126" i="6" s="1"/>
  <c r="D127" i="6" s="1"/>
  <c r="D128" i="6" s="1"/>
  <c r="D129" i="6" s="1"/>
  <c r="D130" i="6" s="1"/>
  <c r="D131" i="6" s="1"/>
  <c r="K128" i="6"/>
  <c r="M128" i="6" s="1"/>
  <c r="M129" i="6"/>
  <c r="N129" i="6" s="1"/>
  <c r="M123" i="6"/>
  <c r="N123" i="6" s="1"/>
  <c r="M122" i="7" l="1"/>
  <c r="N122" i="7"/>
  <c r="E28" i="6"/>
  <c r="F13" i="6"/>
  <c r="K125" i="6"/>
  <c r="M127" i="6"/>
  <c r="N127" i="6" s="1"/>
  <c r="K130" i="6"/>
  <c r="M130" i="6" s="1"/>
  <c r="N130" i="6" s="1"/>
  <c r="K140" i="6"/>
  <c r="M140" i="6" s="1"/>
  <c r="N140" i="6" s="1"/>
  <c r="K135" i="6"/>
  <c r="K124" i="6"/>
  <c r="K121" i="7"/>
  <c r="E14" i="7" s="1"/>
  <c r="K116" i="7"/>
  <c r="K120" i="7"/>
  <c r="M120" i="7" s="1"/>
  <c r="N120" i="7" s="1"/>
  <c r="K131" i="7"/>
  <c r="M131" i="7" s="1"/>
  <c r="K119" i="7"/>
  <c r="K131" i="6"/>
  <c r="K139" i="6"/>
  <c r="E29" i="6"/>
  <c r="K126" i="6"/>
  <c r="E12" i="6" s="1"/>
  <c r="E27" i="6" s="1"/>
  <c r="E43" i="6" s="1"/>
  <c r="I50" i="6"/>
  <c r="K50" i="6" s="1"/>
  <c r="D17" i="6"/>
  <c r="G14" i="6"/>
  <c r="H14" i="6" s="1"/>
  <c r="I14" i="6"/>
  <c r="K14" i="6" s="1"/>
  <c r="E60" i="6"/>
  <c r="F43" i="6"/>
  <c r="E96" i="7"/>
  <c r="G81" i="7"/>
  <c r="H81" i="7" s="1"/>
  <c r="I81" i="7" s="1"/>
  <c r="K81" i="7" s="1"/>
  <c r="G65" i="7"/>
  <c r="H65" i="7" s="1"/>
  <c r="I65" i="7" s="1"/>
  <c r="K65" i="7" s="1"/>
  <c r="N128" i="6"/>
  <c r="E67" i="6"/>
  <c r="F12" i="6"/>
  <c r="D17" i="7"/>
  <c r="E24" i="6"/>
  <c r="F9" i="6"/>
  <c r="M126" i="6"/>
  <c r="N126" i="6" s="1"/>
  <c r="K118" i="7"/>
  <c r="K127" i="7"/>
  <c r="K115" i="7"/>
  <c r="K128" i="7"/>
  <c r="K117" i="7"/>
  <c r="K132" i="7"/>
  <c r="K123" i="7"/>
  <c r="G50" i="7"/>
  <c r="H50" i="7" s="1"/>
  <c r="I50" i="7" s="1"/>
  <c r="K50" i="7" s="1"/>
  <c r="K66" i="8"/>
  <c r="M131" i="6" l="1"/>
  <c r="N131" i="6" s="1"/>
  <c r="E18" i="6"/>
  <c r="E10" i="7"/>
  <c r="M116" i="7"/>
  <c r="N116" i="7" s="1"/>
  <c r="G13" i="6"/>
  <c r="H13" i="6" s="1"/>
  <c r="I13" i="6" s="1"/>
  <c r="K13" i="6" s="1"/>
  <c r="E13" i="7"/>
  <c r="M119" i="7"/>
  <c r="N119" i="7" s="1"/>
  <c r="E44" i="6"/>
  <c r="F28" i="6"/>
  <c r="G28" i="6" s="1"/>
  <c r="H28" i="6" s="1"/>
  <c r="I28" i="6" s="1"/>
  <c r="K28" i="6" s="1"/>
  <c r="M121" i="7"/>
  <c r="N121" i="7" s="1"/>
  <c r="E45" i="6"/>
  <c r="F29" i="6"/>
  <c r="E10" i="6"/>
  <c r="M124" i="6"/>
  <c r="N124" i="6" s="1"/>
  <c r="N131" i="7"/>
  <c r="F27" i="6"/>
  <c r="M139" i="6"/>
  <c r="N139" i="6" s="1"/>
  <c r="E16" i="6"/>
  <c r="E15" i="6"/>
  <c r="M135" i="6"/>
  <c r="N135" i="6" s="1"/>
  <c r="E11" i="6"/>
  <c r="M125" i="6"/>
  <c r="N125" i="6" s="1"/>
  <c r="M132" i="7"/>
  <c r="N132" i="7" s="1"/>
  <c r="G12" i="6"/>
  <c r="H12" i="6" s="1"/>
  <c r="I12" i="6" s="1"/>
  <c r="K12" i="6" s="1"/>
  <c r="M117" i="7"/>
  <c r="N117" i="7" s="1"/>
  <c r="E11" i="7"/>
  <c r="G27" i="6"/>
  <c r="H27" i="6" s="1"/>
  <c r="I27" i="6" s="1"/>
  <c r="K27" i="6" s="1"/>
  <c r="M128" i="7"/>
  <c r="N128" i="7" s="1"/>
  <c r="E16" i="7"/>
  <c r="E29" i="7"/>
  <c r="F14" i="7"/>
  <c r="E9" i="7"/>
  <c r="M115" i="7"/>
  <c r="N115" i="7" s="1"/>
  <c r="G9" i="6"/>
  <c r="H9" i="6" s="1"/>
  <c r="I9" i="6" s="1"/>
  <c r="K9" i="6" s="1"/>
  <c r="G96" i="7"/>
  <c r="H96" i="7" s="1"/>
  <c r="I96" i="7"/>
  <c r="K96" i="7" s="1"/>
  <c r="E40" i="6"/>
  <c r="F24" i="6"/>
  <c r="E12" i="7"/>
  <c r="M118" i="7"/>
  <c r="N118" i="7" s="1"/>
  <c r="G43" i="6"/>
  <c r="H43" i="6" s="1"/>
  <c r="I43" i="6" s="1"/>
  <c r="K43" i="6" s="1"/>
  <c r="M127" i="7"/>
  <c r="N127" i="7" s="1"/>
  <c r="E15" i="7"/>
  <c r="E85" i="6"/>
  <c r="G67" i="6"/>
  <c r="H67" i="6" s="1"/>
  <c r="I67" i="6" s="1"/>
  <c r="K67" i="6" s="1"/>
  <c r="E18" i="7"/>
  <c r="M123" i="7"/>
  <c r="N123" i="7" s="1"/>
  <c r="F60" i="6"/>
  <c r="E78" i="6"/>
  <c r="F11" i="6" l="1"/>
  <c r="E26" i="6"/>
  <c r="E28" i="7"/>
  <c r="F13" i="7"/>
  <c r="E25" i="6"/>
  <c r="F10" i="6"/>
  <c r="G10" i="6" s="1"/>
  <c r="H10" i="6" s="1"/>
  <c r="I10" i="6" s="1"/>
  <c r="K10" i="6" s="1"/>
  <c r="E33" i="6"/>
  <c r="F18" i="6"/>
  <c r="G18" i="6" s="1"/>
  <c r="H18" i="6" s="1"/>
  <c r="I18" i="6" s="1"/>
  <c r="K18" i="6" s="1"/>
  <c r="F16" i="6"/>
  <c r="E31" i="6"/>
  <c r="F45" i="6"/>
  <c r="E62" i="6"/>
  <c r="E25" i="7"/>
  <c r="F10" i="7"/>
  <c r="G10" i="7" s="1"/>
  <c r="H10" i="7" s="1"/>
  <c r="I10" i="7" s="1"/>
  <c r="K10" i="7" s="1"/>
  <c r="E30" i="6"/>
  <c r="F15" i="6"/>
  <c r="G15" i="6" s="1"/>
  <c r="H15" i="6" s="1"/>
  <c r="I15" i="6" s="1"/>
  <c r="K15" i="6" s="1"/>
  <c r="G29" i="6"/>
  <c r="H29" i="6" s="1"/>
  <c r="I29" i="6"/>
  <c r="K29" i="6" s="1"/>
  <c r="E61" i="6"/>
  <c r="F44" i="6"/>
  <c r="G44" i="6" s="1"/>
  <c r="H44" i="6" s="1"/>
  <c r="I44" i="6" s="1"/>
  <c r="K44" i="6" s="1"/>
  <c r="F9" i="14"/>
  <c r="G9" i="14" s="1"/>
  <c r="H9" i="14" s="1"/>
  <c r="J9" i="14" s="1"/>
  <c r="J11" i="14" s="1"/>
  <c r="H19" i="14" s="1"/>
  <c r="F40" i="6"/>
  <c r="E57" i="6"/>
  <c r="E26" i="7"/>
  <c r="F11" i="7"/>
  <c r="G14" i="7"/>
  <c r="H14" i="7" s="1"/>
  <c r="I14" i="7" s="1"/>
  <c r="K14" i="7" s="1"/>
  <c r="F16" i="7"/>
  <c r="E31" i="7"/>
  <c r="G24" i="6"/>
  <c r="H24" i="6" s="1"/>
  <c r="I24" i="6" s="1"/>
  <c r="K24" i="6" s="1"/>
  <c r="E30" i="7"/>
  <c r="F15" i="7"/>
  <c r="E24" i="7"/>
  <c r="F9" i="7"/>
  <c r="F29" i="7"/>
  <c r="E45" i="7"/>
  <c r="F18" i="7"/>
  <c r="E33" i="7"/>
  <c r="E95" i="6"/>
  <c r="F95" i="6" s="1"/>
  <c r="F78" i="6"/>
  <c r="G60" i="6"/>
  <c r="H60" i="6" s="1"/>
  <c r="I60" i="6" s="1"/>
  <c r="K60" i="6" s="1"/>
  <c r="E27" i="7"/>
  <c r="F12" i="7"/>
  <c r="E102" i="6"/>
  <c r="G85" i="6"/>
  <c r="H85" i="6" s="1"/>
  <c r="I85" i="6" s="1"/>
  <c r="K85" i="6" s="1"/>
  <c r="F26" i="8"/>
  <c r="F28" i="8"/>
  <c r="F32" i="8"/>
  <c r="F29" i="8"/>
  <c r="F30" i="8"/>
  <c r="F27" i="8"/>
  <c r="F62" i="8"/>
  <c r="F31" i="8"/>
  <c r="K19" i="8"/>
  <c r="K21" i="8" s="1"/>
  <c r="F62" i="6" l="1"/>
  <c r="E80" i="6"/>
  <c r="G13" i="7"/>
  <c r="H13" i="7" s="1"/>
  <c r="I13" i="7"/>
  <c r="K13" i="7" s="1"/>
  <c r="E79" i="6"/>
  <c r="F61" i="6"/>
  <c r="G61" i="6" s="1"/>
  <c r="H61" i="6" s="1"/>
  <c r="I61" i="6" s="1"/>
  <c r="K61" i="6" s="1"/>
  <c r="E46" i="6"/>
  <c r="F30" i="6"/>
  <c r="G45" i="6"/>
  <c r="H45" i="6" s="1"/>
  <c r="I45" i="6"/>
  <c r="K45" i="6" s="1"/>
  <c r="E49" i="6"/>
  <c r="F33" i="6"/>
  <c r="E44" i="7"/>
  <c r="F28" i="7"/>
  <c r="E47" i="6"/>
  <c r="F31" i="6"/>
  <c r="G31" i="6" s="1"/>
  <c r="H31" i="6" s="1"/>
  <c r="I31" i="6" s="1"/>
  <c r="K31" i="6" s="1"/>
  <c r="E42" i="6"/>
  <c r="F26" i="6"/>
  <c r="G26" i="6" s="1"/>
  <c r="H26" i="6" s="1"/>
  <c r="I26" i="6" s="1"/>
  <c r="K26" i="6" s="1"/>
  <c r="E41" i="7"/>
  <c r="F25" i="7"/>
  <c r="G16" i="6"/>
  <c r="H16" i="6" s="1"/>
  <c r="I16" i="6"/>
  <c r="K16" i="6" s="1"/>
  <c r="E41" i="6"/>
  <c r="F25" i="6"/>
  <c r="G11" i="6"/>
  <c r="H11" i="6" s="1"/>
  <c r="I11" i="6"/>
  <c r="K11" i="6" s="1"/>
  <c r="K20" i="6" s="1"/>
  <c r="E14" i="14"/>
  <c r="G9" i="7"/>
  <c r="H9" i="7" s="1"/>
  <c r="I9" i="7" s="1"/>
  <c r="K9" i="7" s="1"/>
  <c r="F31" i="7"/>
  <c r="E47" i="7"/>
  <c r="F27" i="7"/>
  <c r="G27" i="7" s="1"/>
  <c r="H27" i="7" s="1"/>
  <c r="I27" i="7" s="1"/>
  <c r="K27" i="7" s="1"/>
  <c r="E43" i="7"/>
  <c r="E40" i="7"/>
  <c r="F24" i="7"/>
  <c r="G16" i="7"/>
  <c r="H16" i="7" s="1"/>
  <c r="I16" i="7"/>
  <c r="K16" i="7" s="1"/>
  <c r="E46" i="7"/>
  <c r="F30" i="7"/>
  <c r="G40" i="6"/>
  <c r="H40" i="6" s="1"/>
  <c r="I40" i="6" s="1"/>
  <c r="K40" i="6" s="1"/>
  <c r="G78" i="6"/>
  <c r="H78" i="6" s="1"/>
  <c r="I78" i="6" s="1"/>
  <c r="K78" i="6" s="1"/>
  <c r="G11" i="7"/>
  <c r="H11" i="7" s="1"/>
  <c r="I11" i="7"/>
  <c r="K11" i="7" s="1"/>
  <c r="G12" i="7"/>
  <c r="H12" i="7" s="1"/>
  <c r="I12" i="7" s="1"/>
  <c r="K12" i="7" s="1"/>
  <c r="E49" i="7"/>
  <c r="F33" i="7"/>
  <c r="F57" i="6"/>
  <c r="E75" i="6"/>
  <c r="G18" i="7"/>
  <c r="H18" i="7" s="1"/>
  <c r="I18" i="7"/>
  <c r="K18" i="7" s="1"/>
  <c r="G102" i="6"/>
  <c r="H102" i="6" s="1"/>
  <c r="I102" i="6" s="1"/>
  <c r="K102" i="6" s="1"/>
  <c r="G95" i="6"/>
  <c r="H95" i="6" s="1"/>
  <c r="I95" i="6" s="1"/>
  <c r="K95" i="6" s="1"/>
  <c r="F26" i="7"/>
  <c r="E42" i="7"/>
  <c r="E60" i="7"/>
  <c r="F45" i="7"/>
  <c r="G15" i="7"/>
  <c r="H15" i="7" s="1"/>
  <c r="I15" i="7"/>
  <c r="K15" i="7" s="1"/>
  <c r="G29" i="7"/>
  <c r="H29" i="7" s="1"/>
  <c r="I29" i="7" s="1"/>
  <c r="K29" i="7" s="1"/>
  <c r="G26" i="8"/>
  <c r="H26" i="8" s="1"/>
  <c r="I26" i="8" s="1"/>
  <c r="K26" i="8" s="1"/>
  <c r="K34" i="8"/>
  <c r="F57" i="8"/>
  <c r="F42" i="8"/>
  <c r="F60" i="8"/>
  <c r="F45" i="8"/>
  <c r="F44" i="8"/>
  <c r="F59" i="8"/>
  <c r="G27" i="8"/>
  <c r="H27" i="8" s="1"/>
  <c r="I27" i="8" s="1"/>
  <c r="K27" i="8" s="1"/>
  <c r="F43" i="8"/>
  <c r="F58" i="8"/>
  <c r="G29" i="8"/>
  <c r="H29" i="8" s="1"/>
  <c r="I29" i="8" s="1"/>
  <c r="K29" i="8" s="1"/>
  <c r="G30" i="8"/>
  <c r="H30" i="8" s="1"/>
  <c r="I30" i="8" s="1"/>
  <c r="K30" i="8" s="1"/>
  <c r="G32" i="8"/>
  <c r="H32" i="8" s="1"/>
  <c r="I32" i="8" s="1"/>
  <c r="K32" i="8" s="1"/>
  <c r="G25" i="8"/>
  <c r="H25" i="8" s="1"/>
  <c r="I25" i="8" s="1"/>
  <c r="K25" i="8" s="1"/>
  <c r="F61" i="8"/>
  <c r="F46" i="8"/>
  <c r="F48" i="8"/>
  <c r="F63" i="8"/>
  <c r="F47" i="8"/>
  <c r="F56" i="8"/>
  <c r="F41" i="8"/>
  <c r="G31" i="8"/>
  <c r="H31" i="8" s="1"/>
  <c r="I31" i="8" s="1"/>
  <c r="K31" i="8" s="1"/>
  <c r="G28" i="8"/>
  <c r="H28" i="8" s="1"/>
  <c r="I28" i="8" s="1"/>
  <c r="K28" i="8" s="1"/>
  <c r="E56" i="7" l="1"/>
  <c r="F41" i="7"/>
  <c r="G28" i="7"/>
  <c r="H28" i="7" s="1"/>
  <c r="I28" i="7" s="1"/>
  <c r="K28" i="7" s="1"/>
  <c r="F42" i="6"/>
  <c r="G42" i="6" s="1"/>
  <c r="H42" i="6" s="1"/>
  <c r="I42" i="6" s="1"/>
  <c r="K42" i="6" s="1"/>
  <c r="E59" i="6"/>
  <c r="F44" i="7"/>
  <c r="E59" i="7"/>
  <c r="F79" i="6"/>
  <c r="G79" i="6" s="1"/>
  <c r="H79" i="6" s="1"/>
  <c r="I79" i="6" s="1"/>
  <c r="K79" i="6" s="1"/>
  <c r="E96" i="6"/>
  <c r="F96" i="6" s="1"/>
  <c r="G96" i="6" s="1"/>
  <c r="H96" i="6" s="1"/>
  <c r="I96" i="6" s="1"/>
  <c r="K96" i="6" s="1"/>
  <c r="E97" i="6"/>
  <c r="F97" i="6" s="1"/>
  <c r="G97" i="6" s="1"/>
  <c r="H97" i="6" s="1"/>
  <c r="I97" i="6" s="1"/>
  <c r="K97" i="6" s="1"/>
  <c r="F80" i="6"/>
  <c r="F41" i="6"/>
  <c r="G41" i="6" s="1"/>
  <c r="H41" i="6" s="1"/>
  <c r="I41" i="6" s="1"/>
  <c r="K41" i="6" s="1"/>
  <c r="E58" i="6"/>
  <c r="F47" i="6"/>
  <c r="G47" i="6" s="1"/>
  <c r="H47" i="6" s="1"/>
  <c r="I47" i="6" s="1"/>
  <c r="K47" i="6" s="1"/>
  <c r="E64" i="6"/>
  <c r="E66" i="6"/>
  <c r="F49" i="6"/>
  <c r="G49" i="6" s="1"/>
  <c r="H49" i="6" s="1"/>
  <c r="I49" i="6" s="1"/>
  <c r="K49" i="6" s="1"/>
  <c r="E63" i="6"/>
  <c r="F46" i="6"/>
  <c r="G25" i="6"/>
  <c r="H25" i="6" s="1"/>
  <c r="I25" i="6"/>
  <c r="K25" i="6" s="1"/>
  <c r="G25" i="7"/>
  <c r="H25" i="7" s="1"/>
  <c r="I25" i="7"/>
  <c r="K25" i="7" s="1"/>
  <c r="G33" i="6"/>
  <c r="H33" i="6" s="1"/>
  <c r="I33" i="6" s="1"/>
  <c r="K33" i="6" s="1"/>
  <c r="G30" i="6"/>
  <c r="H30" i="6" s="1"/>
  <c r="I30" i="6"/>
  <c r="K30" i="6" s="1"/>
  <c r="G62" i="6"/>
  <c r="H62" i="6" s="1"/>
  <c r="I62" i="6"/>
  <c r="K62" i="6" s="1"/>
  <c r="F14" i="14"/>
  <c r="G14" i="14" s="1"/>
  <c r="H14" i="14" s="1"/>
  <c r="J14" i="14" s="1"/>
  <c r="J16" i="14" s="1"/>
  <c r="H20" i="14" s="1"/>
  <c r="H21" i="14" s="1"/>
  <c r="E65" i="8"/>
  <c r="G65" i="8" s="1"/>
  <c r="H65" i="8" s="1"/>
  <c r="I65" i="8" s="1"/>
  <c r="E50" i="8"/>
  <c r="G50" i="8" s="1"/>
  <c r="H50" i="8" s="1"/>
  <c r="I50" i="8" s="1"/>
  <c r="K50" i="8" s="1"/>
  <c r="K36" i="8"/>
  <c r="J70" i="8" s="1"/>
  <c r="E58" i="7"/>
  <c r="F43" i="7"/>
  <c r="G43" i="7" s="1"/>
  <c r="H43" i="7" s="1"/>
  <c r="I43" i="7" s="1"/>
  <c r="K43" i="7" s="1"/>
  <c r="G26" i="7"/>
  <c r="H26" i="7" s="1"/>
  <c r="I26" i="7" s="1"/>
  <c r="K26" i="7" s="1"/>
  <c r="G57" i="6"/>
  <c r="H57" i="6" s="1"/>
  <c r="I57" i="6" s="1"/>
  <c r="K57" i="6" s="1"/>
  <c r="E61" i="7"/>
  <c r="F46" i="7"/>
  <c r="F49" i="7"/>
  <c r="E64" i="7"/>
  <c r="K20" i="7"/>
  <c r="F75" i="6"/>
  <c r="E92" i="6"/>
  <c r="F92" i="6" s="1"/>
  <c r="G45" i="7"/>
  <c r="H45" i="7" s="1"/>
  <c r="I45" i="7" s="1"/>
  <c r="K45" i="7" s="1"/>
  <c r="G24" i="7"/>
  <c r="H24" i="7" s="1"/>
  <c r="I24" i="7" s="1"/>
  <c r="K24" i="7" s="1"/>
  <c r="F47" i="7"/>
  <c r="E62" i="7"/>
  <c r="F60" i="7"/>
  <c r="E76" i="7"/>
  <c r="F40" i="7"/>
  <c r="E55" i="7"/>
  <c r="G31" i="7"/>
  <c r="H31" i="7" s="1"/>
  <c r="I31" i="7" s="1"/>
  <c r="K31" i="7" s="1"/>
  <c r="F42" i="7"/>
  <c r="E57" i="7"/>
  <c r="I30" i="7"/>
  <c r="K30" i="7" s="1"/>
  <c r="G30" i="7"/>
  <c r="H30" i="7" s="1"/>
  <c r="G33" i="7"/>
  <c r="H33" i="7" s="1"/>
  <c r="I33" i="7" s="1"/>
  <c r="K33" i="7" s="1"/>
  <c r="G47" i="8"/>
  <c r="H47" i="8" s="1"/>
  <c r="I47" i="8" s="1"/>
  <c r="K47" i="8" s="1"/>
  <c r="G56" i="8"/>
  <c r="H56" i="8" s="1"/>
  <c r="I56" i="8" s="1"/>
  <c r="K56" i="8" s="1"/>
  <c r="G63" i="8"/>
  <c r="H63" i="8" s="1"/>
  <c r="I63" i="8" s="1"/>
  <c r="K63" i="8" s="1"/>
  <c r="G59" i="8"/>
  <c r="H59" i="8" s="1"/>
  <c r="I59" i="8" s="1"/>
  <c r="K59" i="8" s="1"/>
  <c r="G43" i="8"/>
  <c r="H43" i="8" s="1"/>
  <c r="I43" i="8" s="1"/>
  <c r="K43" i="8" s="1"/>
  <c r="G48" i="8"/>
  <c r="H48" i="8" s="1"/>
  <c r="I48" i="8" s="1"/>
  <c r="K48" i="8" s="1"/>
  <c r="G44" i="8"/>
  <c r="H44" i="8" s="1"/>
  <c r="I44" i="8" s="1"/>
  <c r="K44" i="8" s="1"/>
  <c r="K65" i="8"/>
  <c r="G46" i="8"/>
  <c r="H46" i="8" s="1"/>
  <c r="I46" i="8" s="1"/>
  <c r="K46" i="8" s="1"/>
  <c r="G45" i="8"/>
  <c r="H45" i="8" s="1"/>
  <c r="I45" i="8" s="1"/>
  <c r="K45" i="8" s="1"/>
  <c r="G57" i="8"/>
  <c r="H57" i="8" s="1"/>
  <c r="I57" i="8" s="1"/>
  <c r="K57" i="8" s="1"/>
  <c r="G61" i="8"/>
  <c r="H61" i="8" s="1"/>
  <c r="I61" i="8" s="1"/>
  <c r="K61" i="8" s="1"/>
  <c r="G60" i="8"/>
  <c r="H60" i="8" s="1"/>
  <c r="I60" i="8" s="1"/>
  <c r="K60" i="8" s="1"/>
  <c r="G62" i="8"/>
  <c r="H62" i="8" s="1"/>
  <c r="I62" i="8" s="1"/>
  <c r="K62" i="8" s="1"/>
  <c r="G41" i="8"/>
  <c r="H41" i="8" s="1"/>
  <c r="I41" i="8" s="1"/>
  <c r="K41" i="8" s="1"/>
  <c r="G58" i="8"/>
  <c r="H58" i="8" s="1"/>
  <c r="I58" i="8" s="1"/>
  <c r="K58" i="8" s="1"/>
  <c r="G42" i="8"/>
  <c r="H42" i="8" s="1"/>
  <c r="I42" i="8" s="1"/>
  <c r="K42" i="8" s="1"/>
  <c r="K35" i="6" l="1"/>
  <c r="J108" i="6" s="1"/>
  <c r="M108" i="6" s="1"/>
  <c r="G44" i="7"/>
  <c r="H44" i="7" s="1"/>
  <c r="I44" i="7"/>
  <c r="K44" i="7" s="1"/>
  <c r="K35" i="7"/>
  <c r="J100" i="7" s="1"/>
  <c r="G41" i="7"/>
  <c r="H41" i="7" s="1"/>
  <c r="I41" i="7" s="1"/>
  <c r="K41" i="7" s="1"/>
  <c r="E84" i="6"/>
  <c r="F66" i="6"/>
  <c r="G66" i="6" s="1"/>
  <c r="H66" i="6" s="1"/>
  <c r="I66" i="6" s="1"/>
  <c r="K66" i="6" s="1"/>
  <c r="E72" i="7"/>
  <c r="F56" i="7"/>
  <c r="F63" i="6"/>
  <c r="E81" i="6"/>
  <c r="E76" i="6"/>
  <c r="F58" i="6"/>
  <c r="G58" i="6" s="1"/>
  <c r="H58" i="6" s="1"/>
  <c r="I58" i="6" s="1"/>
  <c r="K58" i="6" s="1"/>
  <c r="F59" i="6"/>
  <c r="E77" i="6"/>
  <c r="G46" i="6"/>
  <c r="H46" i="6" s="1"/>
  <c r="I46" i="6"/>
  <c r="K46" i="6" s="1"/>
  <c r="K51" i="6" s="1"/>
  <c r="K52" i="6" s="1"/>
  <c r="K53" i="6" s="1"/>
  <c r="F64" i="6"/>
  <c r="G64" i="6" s="1"/>
  <c r="H64" i="6" s="1"/>
  <c r="I64" i="6" s="1"/>
  <c r="K64" i="6" s="1"/>
  <c r="E82" i="6"/>
  <c r="G80" i="6"/>
  <c r="H80" i="6" s="1"/>
  <c r="I80" i="6"/>
  <c r="K80" i="6" s="1"/>
  <c r="F59" i="7"/>
  <c r="E75" i="7"/>
  <c r="K67" i="8"/>
  <c r="K52" i="8"/>
  <c r="J71" i="8" s="1"/>
  <c r="G40" i="7"/>
  <c r="H40" i="7" s="1"/>
  <c r="I40" i="7" s="1"/>
  <c r="K40" i="7" s="1"/>
  <c r="G47" i="7"/>
  <c r="H47" i="7" s="1"/>
  <c r="I47" i="7" s="1"/>
  <c r="K47" i="7" s="1"/>
  <c r="E80" i="7"/>
  <c r="F64" i="7"/>
  <c r="G92" i="6"/>
  <c r="H92" i="6" s="1"/>
  <c r="I92" i="6" s="1"/>
  <c r="K92" i="6" s="1"/>
  <c r="F62" i="7"/>
  <c r="E78" i="7"/>
  <c r="E91" i="7"/>
  <c r="F91" i="7" s="1"/>
  <c r="F76" i="7"/>
  <c r="G49" i="7"/>
  <c r="H49" i="7" s="1"/>
  <c r="I49" i="7"/>
  <c r="K49" i="7" s="1"/>
  <c r="E74" i="7"/>
  <c r="F58" i="7"/>
  <c r="G58" i="7" s="1"/>
  <c r="H58" i="7" s="1"/>
  <c r="I58" i="7" s="1"/>
  <c r="K58" i="7" s="1"/>
  <c r="E71" i="7"/>
  <c r="F55" i="7"/>
  <c r="G60" i="7"/>
  <c r="H60" i="7" s="1"/>
  <c r="I60" i="7" s="1"/>
  <c r="K60" i="7" s="1"/>
  <c r="G46" i="7"/>
  <c r="H46" i="7" s="1"/>
  <c r="I46" i="7" s="1"/>
  <c r="K46" i="7" s="1"/>
  <c r="G75" i="6"/>
  <c r="H75" i="6" s="1"/>
  <c r="I75" i="6"/>
  <c r="K75" i="6" s="1"/>
  <c r="F57" i="7"/>
  <c r="E73" i="7"/>
  <c r="E77" i="7"/>
  <c r="F61" i="7"/>
  <c r="G42" i="7"/>
  <c r="H42" i="7" s="1"/>
  <c r="I42" i="7"/>
  <c r="K42" i="7" s="1"/>
  <c r="G59" i="7" l="1"/>
  <c r="H59" i="7" s="1"/>
  <c r="I59" i="7"/>
  <c r="K59" i="7" s="1"/>
  <c r="G59" i="6"/>
  <c r="H59" i="6" s="1"/>
  <c r="I59" i="6" s="1"/>
  <c r="K59" i="6" s="1"/>
  <c r="K68" i="6" s="1"/>
  <c r="E93" i="6"/>
  <c r="F93" i="6" s="1"/>
  <c r="F76" i="6"/>
  <c r="G76" i="6" s="1"/>
  <c r="H76" i="6" s="1"/>
  <c r="I76" i="6" s="1"/>
  <c r="K76" i="6" s="1"/>
  <c r="E87" i="7"/>
  <c r="F87" i="7" s="1"/>
  <c r="F72" i="7"/>
  <c r="G63" i="6"/>
  <c r="H63" i="6" s="1"/>
  <c r="I63" i="6" s="1"/>
  <c r="K63" i="6" s="1"/>
  <c r="F84" i="6"/>
  <c r="E101" i="6"/>
  <c r="F101" i="6" s="1"/>
  <c r="G101" i="6" s="1"/>
  <c r="H101" i="6" s="1"/>
  <c r="I101" i="6" s="1"/>
  <c r="K101" i="6" s="1"/>
  <c r="I56" i="7"/>
  <c r="K56" i="7" s="1"/>
  <c r="G56" i="7"/>
  <c r="H56" i="7" s="1"/>
  <c r="F75" i="7"/>
  <c r="E90" i="7"/>
  <c r="F90" i="7" s="1"/>
  <c r="E99" i="6"/>
  <c r="F99" i="6" s="1"/>
  <c r="G99" i="6" s="1"/>
  <c r="H99" i="6" s="1"/>
  <c r="I99" i="6" s="1"/>
  <c r="K99" i="6" s="1"/>
  <c r="F82" i="6"/>
  <c r="E94" i="6"/>
  <c r="F94" i="6" s="1"/>
  <c r="G94" i="6" s="1"/>
  <c r="H94" i="6" s="1"/>
  <c r="I94" i="6" s="1"/>
  <c r="K94" i="6" s="1"/>
  <c r="F77" i="6"/>
  <c r="E98" i="6"/>
  <c r="F98" i="6" s="1"/>
  <c r="F81" i="6"/>
  <c r="G81" i="6" s="1"/>
  <c r="H81" i="6" s="1"/>
  <c r="I81" i="6" s="1"/>
  <c r="K81" i="6" s="1"/>
  <c r="K51" i="7"/>
  <c r="E88" i="7"/>
  <c r="F88" i="7" s="1"/>
  <c r="F73" i="7"/>
  <c r="G76" i="7"/>
  <c r="H76" i="7" s="1"/>
  <c r="I76" i="7" s="1"/>
  <c r="K76" i="7" s="1"/>
  <c r="F80" i="7"/>
  <c r="E95" i="7"/>
  <c r="F95" i="7" s="1"/>
  <c r="G57" i="7"/>
  <c r="H57" i="7" s="1"/>
  <c r="I57" i="7" s="1"/>
  <c r="K57" i="7" s="1"/>
  <c r="G91" i="7"/>
  <c r="H91" i="7" s="1"/>
  <c r="I91" i="7" s="1"/>
  <c r="K91" i="7" s="1"/>
  <c r="E93" i="7"/>
  <c r="F93" i="7" s="1"/>
  <c r="F78" i="7"/>
  <c r="G62" i="7"/>
  <c r="H62" i="7" s="1"/>
  <c r="I62" i="7" s="1"/>
  <c r="K62" i="7" s="1"/>
  <c r="F71" i="7"/>
  <c r="G71" i="7" s="1"/>
  <c r="H71" i="7" s="1"/>
  <c r="I71" i="7" s="1"/>
  <c r="K71" i="7" s="1"/>
  <c r="E86" i="7"/>
  <c r="F86" i="7" s="1"/>
  <c r="G86" i="7" s="1"/>
  <c r="H86" i="7" s="1"/>
  <c r="I86" i="7" s="1"/>
  <c r="K86" i="7" s="1"/>
  <c r="E89" i="7"/>
  <c r="F89" i="7" s="1"/>
  <c r="G89" i="7" s="1"/>
  <c r="H89" i="7" s="1"/>
  <c r="I89" i="7" s="1"/>
  <c r="K89" i="7" s="1"/>
  <c r="F74" i="7"/>
  <c r="G74" i="7" s="1"/>
  <c r="H74" i="7" s="1"/>
  <c r="I74" i="7" s="1"/>
  <c r="K74" i="7" s="1"/>
  <c r="G55" i="7"/>
  <c r="H55" i="7" s="1"/>
  <c r="I55" i="7" s="1"/>
  <c r="K55" i="7" s="1"/>
  <c r="G61" i="7"/>
  <c r="H61" i="7" s="1"/>
  <c r="I61" i="7"/>
  <c r="K61" i="7" s="1"/>
  <c r="F77" i="7"/>
  <c r="E92" i="7"/>
  <c r="F92" i="7" s="1"/>
  <c r="G64" i="7"/>
  <c r="H64" i="7" s="1"/>
  <c r="I64" i="7"/>
  <c r="K64" i="7" s="1"/>
  <c r="K69" i="6" l="1"/>
  <c r="K70" i="6" s="1"/>
  <c r="J109" i="6" s="1"/>
  <c r="G77" i="6"/>
  <c r="H77" i="6" s="1"/>
  <c r="I77" i="6"/>
  <c r="K77" i="6" s="1"/>
  <c r="K86" i="6" s="1"/>
  <c r="K87" i="6" s="1"/>
  <c r="K88" i="6" s="1"/>
  <c r="G90" i="7"/>
  <c r="H90" i="7" s="1"/>
  <c r="I90" i="7"/>
  <c r="K90" i="7" s="1"/>
  <c r="G72" i="7"/>
  <c r="H72" i="7" s="1"/>
  <c r="I72" i="7"/>
  <c r="K72" i="7" s="1"/>
  <c r="K66" i="7"/>
  <c r="J101" i="7" s="1"/>
  <c r="G75" i="7"/>
  <c r="H75" i="7" s="1"/>
  <c r="I75" i="7"/>
  <c r="K75" i="7" s="1"/>
  <c r="I84" i="6"/>
  <c r="K84" i="6" s="1"/>
  <c r="G84" i="6"/>
  <c r="H84" i="6" s="1"/>
  <c r="G87" i="7"/>
  <c r="H87" i="7" s="1"/>
  <c r="I87" i="7"/>
  <c r="K87" i="7" s="1"/>
  <c r="G98" i="6"/>
  <c r="H98" i="6" s="1"/>
  <c r="I98" i="6" s="1"/>
  <c r="K98" i="6" s="1"/>
  <c r="G93" i="6"/>
  <c r="H93" i="6" s="1"/>
  <c r="I93" i="6" s="1"/>
  <c r="K93" i="6" s="1"/>
  <c r="K103" i="6" s="1"/>
  <c r="I82" i="6"/>
  <c r="K82" i="6" s="1"/>
  <c r="G82" i="6"/>
  <c r="H82" i="6" s="1"/>
  <c r="J72" i="8"/>
  <c r="G77" i="7"/>
  <c r="H77" i="7" s="1"/>
  <c r="I77" i="7" s="1"/>
  <c r="K77" i="7" s="1"/>
  <c r="G73" i="7"/>
  <c r="H73" i="7" s="1"/>
  <c r="I73" i="7"/>
  <c r="K73" i="7" s="1"/>
  <c r="G93" i="7"/>
  <c r="H93" i="7" s="1"/>
  <c r="I93" i="7" s="1"/>
  <c r="K93" i="7" s="1"/>
  <c r="G88" i="7"/>
  <c r="H88" i="7" s="1"/>
  <c r="I88" i="7" s="1"/>
  <c r="K88" i="7" s="1"/>
  <c r="G95" i="7"/>
  <c r="H95" i="7" s="1"/>
  <c r="I95" i="7"/>
  <c r="K95" i="7" s="1"/>
  <c r="G92" i="7"/>
  <c r="H92" i="7" s="1"/>
  <c r="I92" i="7" s="1"/>
  <c r="K92" i="7" s="1"/>
  <c r="G80" i="7"/>
  <c r="H80" i="7" s="1"/>
  <c r="I80" i="7" s="1"/>
  <c r="K80" i="7" s="1"/>
  <c r="G78" i="7"/>
  <c r="H78" i="7" s="1"/>
  <c r="I78" i="7"/>
  <c r="K78" i="7" s="1"/>
  <c r="K105" i="6" l="1"/>
  <c r="K104" i="6"/>
  <c r="J110" i="6"/>
  <c r="M110" i="6" s="1"/>
  <c r="M109" i="6"/>
  <c r="K97" i="7"/>
  <c r="K82" i="7"/>
  <c r="J102" i="7" s="1"/>
  <c r="J103" i="7" s="1"/>
  <c r="J111" i="6" l="1"/>
</calcChain>
</file>

<file path=xl/sharedStrings.xml><?xml version="1.0" encoding="utf-8"?>
<sst xmlns="http://schemas.openxmlformats.org/spreadsheetml/2006/main" count="981" uniqueCount="189">
  <si>
    <t xml:space="preserve">SERVICIOS DE VIGILANCIA Y SEGURIDAD PRIVADA PARA LA UPN </t>
  </si>
  <si>
    <t xml:space="preserve">TIPO </t>
  </si>
  <si>
    <t>SERVICIO</t>
  </si>
  <si>
    <t>Cantidad</t>
  </si>
  <si>
    <t>TARIFA (AÑO 2020)</t>
  </si>
  <si>
    <t>Tarifa: costos de personal más A y S (1)</t>
  </si>
  <si>
    <t>Base (aiu) Gravable (Art 46 Ley 1607/2012) - (2)</t>
  </si>
  <si>
    <t xml:space="preserve"> IVA 19% sobre (3)</t>
  </si>
  <si>
    <t>Valor total 
servicio (1+3)</t>
  </si>
  <si>
    <t>Meses</t>
  </si>
  <si>
    <t>Total con IVA</t>
  </si>
  <si>
    <t>A</t>
  </si>
  <si>
    <t>B</t>
  </si>
  <si>
    <t>C</t>
  </si>
  <si>
    <t>D</t>
  </si>
  <si>
    <t>E</t>
  </si>
  <si>
    <t>F</t>
  </si>
  <si>
    <t>12 horas de lunes a sabado (6:00 AM A 6:00 PM</t>
  </si>
  <si>
    <t>G</t>
  </si>
  <si>
    <t>H</t>
  </si>
  <si>
    <t>TOTAL SERVICIOS</t>
  </si>
  <si>
    <t xml:space="preserve">VIGENCIA </t>
  </si>
  <si>
    <t>VALOR TOTAL 24 MESES</t>
  </si>
  <si>
    <t>JORNADA LABORAL</t>
  </si>
  <si>
    <t>6:00 am a 2:00 pm (turno de 8 horas diurno)</t>
  </si>
  <si>
    <t>2:00 a 10:00 pm (turno de 8 horas diurno)</t>
  </si>
  <si>
    <t>10:00 pm a 6:00 am (turno de 8 horas nocturno)</t>
  </si>
  <si>
    <t>Salario mínimo</t>
  </si>
  <si>
    <t>Factor</t>
  </si>
  <si>
    <t>Modalidad</t>
  </si>
  <si>
    <t>Salario</t>
  </si>
  <si>
    <t>Variable</t>
  </si>
  <si>
    <t>K</t>
  </si>
  <si>
    <t>Días de servicio</t>
  </si>
  <si>
    <t>Jornada laboral</t>
  </si>
  <si>
    <t>Horas del servicio</t>
  </si>
  <si>
    <t xml:space="preserve">Valor TARIFA </t>
  </si>
  <si>
    <t>A y S</t>
  </si>
  <si>
    <t>Fórmula</t>
  </si>
  <si>
    <t>24 horas con arma - todos los días</t>
  </si>
  <si>
    <t>24 horas sin arma -  todos los días</t>
  </si>
  <si>
    <t>15 horas lun a sáb sin festivos sin arma (6:00 A.M. A 9:00 PM)</t>
  </si>
  <si>
    <t>10 horas lun a sáb sin festivos sin arma - (7:00 A.M. A 5:00 PM)</t>
  </si>
  <si>
    <t>24 horas canino - todos los días</t>
  </si>
  <si>
    <t>14 horas de lunes a sabado (6:00 AM A 8:00 PM)</t>
  </si>
  <si>
    <t>12 horas de lunes a viernes (6:00 AM A 6:00 PM</t>
  </si>
  <si>
    <t>I</t>
  </si>
  <si>
    <t>Servicio 24 horas - Supervisior - todos los días</t>
  </si>
  <si>
    <t xml:space="preserve">13 horas de lunes a viernes 6 a 19 y 8 horas sabado de 6 a 14 </t>
  </si>
  <si>
    <t xml:space="preserve">15 horas de lunes a viernes 6 a 21 y 8 horas sabado de 6 a 14 </t>
  </si>
  <si>
    <t>UNIVERSIDAD PEDAGÓGICA NACIONAL</t>
  </si>
  <si>
    <t>VICERRECTORÍA ADMINISTRATIVA Y FINANCIERA</t>
  </si>
  <si>
    <t>SUBDIRECCIÓN DE SERVICIOS GENERALES</t>
  </si>
  <si>
    <t>24 Horas Permanente Con Arma</t>
  </si>
  <si>
    <t>24 Horas Permanente Sin Arma</t>
  </si>
  <si>
    <t>15 Horas L-S Sin Festivo Sin Arma (6:00 Am a 9:00 Pm)</t>
  </si>
  <si>
    <t>10 Horas L-S Sin Festivo Sin Arma (7:00 Am a 5:00 Pm)</t>
  </si>
  <si>
    <t>Canino 24 Horas Permanente</t>
  </si>
  <si>
    <t>12 Horas L-S Sin Festivo Sin Arma (6:00 Am a 6:00 Pm)</t>
  </si>
  <si>
    <t>13 Horas  L-V Sin Festivo Con Arma (6:00 Am a 7:00 Pm) Y Sábado (6:00 Am a 2:00 Pm)</t>
  </si>
  <si>
    <t>15 Horas  L-V Sin Festivo Sin Arma  (6:00 Am a 9:00 Pm) Y  Sábado (6:00 Am a 2:00 Pm)</t>
  </si>
  <si>
    <t>Supervisión 24 Horas Permanente Sin Arma</t>
  </si>
  <si>
    <t>J</t>
  </si>
  <si>
    <r>
      <t xml:space="preserve">Medios tecnológicos:  </t>
    </r>
    <r>
      <rPr>
        <sz val="16"/>
        <color theme="1"/>
        <rFont val="Helvetica"/>
        <family val="2"/>
      </rPr>
      <t xml:space="preserve"> Circuitos cerrados de Cámaras de Seguridad y 30 Unidades de sistema lector de rondas.</t>
    </r>
  </si>
  <si>
    <t>CUADRO RESUMEN VALOR TODOS LOS SERVICIOS REGULADOS Y NO REGULADOS PARA 24 MESES (SUMATORIA TOTALES)</t>
  </si>
  <si>
    <t>TARIFA (AÑO 2022)</t>
  </si>
  <si>
    <t>15 DÍAS (1 AL 15 DE DICIEMBRE DE 2022)</t>
  </si>
  <si>
    <t>15 DÍAS (16 AL 31 DICIEMBRE DE 2022)</t>
  </si>
  <si>
    <t>SERVICIOS DE VIGILANCIA Y SEGURIDAD PRIVADA  EN PERIODO DE CLASES 2022</t>
  </si>
  <si>
    <t>SERVICIOS DE VIGILANCIA Y SEGURIDAD PRIVADA  EN PERIODO DE NO CLASES 2022, EMERGENCIA SANITARIA O PANDEMIA</t>
  </si>
  <si>
    <t>Total con IVA 2022 - SERVICIO EN PERIODO NO CLASES, EMERGENCIA SANITARIA O PANDEMIA</t>
  </si>
  <si>
    <t>SERVICIOS DE VIGILANCIA Y SEGURIDAD PRIVADA  EN PERIODO DE CLASES 2023 - 10 MESES
(DEL 16 DE ENERO AL 15 DE JUNIO) Y (DEL 16 DE JULIO AL 15 DE DICIEMBRE )</t>
  </si>
  <si>
    <t>SERVICIOS DE VIGILANCIA Y SEGURIDAD PRIVADA  EN PERIODO DE CLASES 2023</t>
  </si>
  <si>
    <t>SERVICIOS DE VIGILANCIA Y SEGURIDAD PRIVADA  EN PERIODO DE NO CLASES 2023, EMERGENCIA SANITARIA O PANDEMIA</t>
  </si>
  <si>
    <t>SERVICIOS DE VIGILANCIA Y SEGURIDAD PRIVADA  EN PERIODO DE CLASES 2023 - 2 MESES
(DEL 1 AL 15 DE ENERO, DEL 16 DE JUNIO AL 15 DE JULIO Y DEL 16 AL 31 DE DICIEMBRE)</t>
  </si>
  <si>
    <t>SERVICIOS DE VIGILANCIA Y SEGURIDAD PRIVADA  EN PERIODO DE CLASES 2024</t>
  </si>
  <si>
    <t>SERVICIOS DE VIGILANCIA Y SEGURIDAD PRIVADA  EN PERIODO DE NO CLASES 2024, EMERGENCIA SANITARIA O PANDEMIA</t>
  </si>
  <si>
    <t>Total con IVA  - SERVICIO EN PERIODO DE CLASES</t>
  </si>
  <si>
    <t>Más INCREMENTO 10% SOBRE EL 2022</t>
  </si>
  <si>
    <t>Más INCREMENTO 10% SOBRE EL 2022 (el porcentaje se toma de acuerdo al SUPUESTOS MACROECONÓMICOS remitido por ODP)</t>
  </si>
  <si>
    <t>SERVICIOS DE VIGILANCIA Y SEGURIDAD PRIVADA  EN PERIODO DE CLASES 2024 - 10 MESES
(DEL 16 DE ENERO AL 15 DE JUNIO) Y (DEL 16 DE JULIO AL 15 DE DICIEMBRE )</t>
  </si>
  <si>
    <t>SERVICIOS DE VIGILANCIA Y SEGURIDAD PRIVADA  EN PERIODO DE CLASES 2024 - 2 MESES
(DEL 1 AL 15 DE ENERO, DEL 16 DE JUNIO AL 15 DE JULIO Y DEL 16 AL 31 DE DICIEMBRE)</t>
  </si>
  <si>
    <t>Más INCREMENTO 20% SOBRE EL 2022 (el porcentaje se toma de acuerdo al SUPUESTOS MACROECONÓMICOS remitido por ODP)</t>
  </si>
  <si>
    <t>TARIFA 2024 (incremento del 10% sobre tarifa 2023)</t>
  </si>
  <si>
    <t>TARIFA 2023 (con incremento del 10% sobre tarifa 2022)</t>
  </si>
  <si>
    <t>SERVICIOS DE VIGILANCIA Y SEGURIDAD PRIVADA  EN PERIODO DE NO CLASES 2023 - 2 MESES
(DEL 1 AL 15 DE ENERO, DEL 16 DE JUNIO AL 15 DE JULIO Y DEL 16 AL 31 DE DICIEMBRE)</t>
  </si>
  <si>
    <t>SERVICIOS DE VIGILANCIA Y SEGURIDAD PRIVADA  EN PERIODO DE NO CLASES 2024 - 2 MESES
(DEL 1 AL 15 DE ENERO, DEL 16 DE JUNIO AL 15 DE JULIO Y DEL 16 AL 31 DE DICIEMBRE)</t>
  </si>
  <si>
    <t>SERVICIOS DE VIGILANCIA Y SEGURIDAD PRIVADA  EN PERIODO DE CLASES 2024 - 9,5 MESES
(DEL 16 DE ENERO AL 15 DE JUNIO) Y (DEL 16 DE JULIO AL 30 DE NOVIEMBRE )</t>
  </si>
  <si>
    <t>SERVICIOS DE VIGILANCIA Y SEGURIDAD PRIVADA  EN PERIODO DE NO CLASES 2024 - 1,5 MESES
(DEL 1 AL 15 DE ENERO, DEL 16 DE JUNIO AL 15 DE JULIO)</t>
  </si>
  <si>
    <t>SERVICIOS DE VIGILANCIA Y SEGURIDAD PRIVADA  EN PERIODO DE NO CLASES 2023</t>
  </si>
  <si>
    <t>SERVICIOS DE VIGILANCIA Y SEGURIDAD PRIVADA  EN PERIODO DE NO CLASES 2024</t>
  </si>
  <si>
    <t>VALOR TOTAL</t>
  </si>
  <si>
    <t>ANEXO 3A. SERVICIOS DE VIGILANCIA Y SEGURIDAD PRIVADA EN PERIODO DE CLASES ESTUDIANTILES</t>
  </si>
  <si>
    <t>PREDIO</t>
  </si>
  <si>
    <t>SERVICIOS REGULADOS</t>
  </si>
  <si>
    <t xml:space="preserve">TOTAL SERVICIOS POR PREDIO </t>
  </si>
  <si>
    <t>24 HORAS PERMANENTE CON ARMA</t>
  </si>
  <si>
    <t>24 HORAS PERMANENTE SIN ARMA</t>
  </si>
  <si>
    <t>CANINO 24 HORAS PERMANENTE</t>
  </si>
  <si>
    <t>PRINCIPAL - CALLE 72</t>
  </si>
  <si>
    <t>PORTERIA CALLE 72</t>
  </si>
  <si>
    <t>PORTERIA CALLE 73 entrada peatonal</t>
  </si>
  <si>
    <t>PORTERIA CALLE 73 porteria bicicletas</t>
  </si>
  <si>
    <t>PORTERIA PARQUEADERO</t>
  </si>
  <si>
    <t>PORTERIA CARRERA 11.RONDERO</t>
  </si>
  <si>
    <t>EDIFICIO B - PISO 1 Y 2</t>
  </si>
  <si>
    <t>EDIFICIO B - PISO 3 Y 4</t>
  </si>
  <si>
    <t>EDIFICIO A BIBLIOTECA</t>
  </si>
  <si>
    <t>EDIFICIO A PISO 2 Y 3</t>
  </si>
  <si>
    <t xml:space="preserve">CASA DE LA VIDA </t>
  </si>
  <si>
    <t>EDIFICIO C PISO 1,2 ARTES VISUALES</t>
  </si>
  <si>
    <t>EDIFICIO C Gimnasio y Coliseo</t>
  </si>
  <si>
    <t>EDIFICIO C PISO 1,2 PEDAGOGIA</t>
  </si>
  <si>
    <t>EDIFICIO E PISO 1,2 Y 3</t>
  </si>
  <si>
    <t>EDIFICIO P</t>
  </si>
  <si>
    <t>RONDERO. GIMNACIO, COLISEO ETC</t>
  </si>
  <si>
    <t xml:space="preserve">PREDIOS UBICADOS EN LA CIUDAD DE  BOGOTÁ </t>
  </si>
  <si>
    <t xml:space="preserve">NOGAL BELLAS ARTE ACCESO PRINCIPAL </t>
  </si>
  <si>
    <t>NOGAL BELLAS ARTE</t>
  </si>
  <si>
    <t xml:space="preserve">NOGAL CASA </t>
  </si>
  <si>
    <t xml:space="preserve">PARQUE NACIONAL ACCESO PRINCIPAL </t>
  </si>
  <si>
    <t xml:space="preserve">PARQUE NACIONAL PARQUEADERO </t>
  </si>
  <si>
    <t>PARQUE NACIONAL</t>
  </si>
  <si>
    <t>EDIFICIO CENTRO LENGUAS</t>
  </si>
  <si>
    <t>EDIFICIO ADMINISTRATIVO</t>
  </si>
  <si>
    <t>VALMARIA- SALONES Y OFICINAS</t>
  </si>
  <si>
    <t>VALMARIA - CAMPOS DEPORTIVOS</t>
  </si>
  <si>
    <t>VALMARIA - RONDERO ZONAS PASTOS</t>
  </si>
  <si>
    <t xml:space="preserve">VALMARIA  - PARQUEADERO </t>
  </si>
  <si>
    <t>IPN PORTERIA PRIMARIA Y BACHIDERATO</t>
  </si>
  <si>
    <t>IPN PORTERIA BUSES Y COLECTIVOS</t>
  </si>
  <si>
    <t>IPN RONDERO</t>
  </si>
  <si>
    <t>IPN OFICINAS PREFABRICADO</t>
  </si>
  <si>
    <t>EDIFICIO POSGRADOS</t>
  </si>
  <si>
    <t>ESCUELA MATERNA</t>
  </si>
  <si>
    <t>PREDIOS EXTERNOS</t>
  </si>
  <si>
    <t>SIETE CUEROS</t>
  </si>
  <si>
    <t>SAN JOSE DE VILLETA</t>
  </si>
  <si>
    <t>OTROS SERVICIOS</t>
  </si>
  <si>
    <t>SUPERVISION - TODAS LAS INSTALACIONES</t>
  </si>
  <si>
    <t xml:space="preserve"> TOTAL DE SERVICIOS </t>
  </si>
  <si>
    <t>TOTAL SERVICIOS POR PREDIOS</t>
  </si>
  <si>
    <t>VALMARIA - PARQUEADERO</t>
  </si>
  <si>
    <t>EDIFICIO CARRERA 9 # 57-41 POSGRADOS</t>
  </si>
  <si>
    <t xml:space="preserve">TOTAL DE SERVICIOS </t>
  </si>
  <si>
    <t>ANEXO 3B. SERVICIOS DE VIGILANCIA Y SEGURIDAD PRIVADA EN PERIODO DE NO CLASES ESTUDIANTILES</t>
  </si>
  <si>
    <t>VARIABLE DE PROPORCIONALIDAD</t>
  </si>
  <si>
    <t xml:space="preserve">6:00 A.M. a 2:00 P.M. (turno de 8 horas diurno) </t>
  </si>
  <si>
    <t xml:space="preserve">2:00 P.M. a 9:00 P.M. (turno de 7 horas diurno) </t>
  </si>
  <si>
    <t xml:space="preserve">9:00 P.M. a 6:00 A.M. (turno de 9 horas nocturnas) </t>
  </si>
  <si>
    <t>TARIFA BASE</t>
  </si>
  <si>
    <t>Valor prima Seguro de Vida</t>
  </si>
  <si>
    <t>VALOR TARIFA MAS PRIMA SEGURO DE VIDA</t>
  </si>
  <si>
    <t>SMMLV</t>
  </si>
  <si>
    <t xml:space="preserve">FACTOR </t>
  </si>
  <si>
    <t xml:space="preserve">MES </t>
  </si>
  <si>
    <t>10 HORAS L-S (7:00 AM A  5:00PM) SIN FESTIVO SIN ARMA</t>
  </si>
  <si>
    <t>12 HORAS DE LUNES A SABADO (6:00 AM A 6:00 PM) SIN FESTIVO SIN ARMA</t>
  </si>
  <si>
    <t>15 HORAS L-S (6:00 AM A 9:00 PM) SIN FESTIVO SIN ARMA</t>
  </si>
  <si>
    <t>14 HORAS DE LUNES A SÁBADO (7:00 AM A 09:00 PM) SIN FESTIVO SIN ARMA</t>
  </si>
  <si>
    <t>((((((SMLMV x TARIFA DEL SERVICIO (8,8 u 8,6) + VALOR PRIMA SEGURO DE VIDA) x VARIABLE DE PROPORCIONALIDAD) / 30) x DÍAS QUE SE REQUIERE EL SERVICIO) / JORNADA LABORAL) x HORAS REQUERIDAS DEL SERVICIO.</t>
  </si>
  <si>
    <t>A y S formula</t>
  </si>
  <si>
    <t>Base (AIU) Gravable (Art 46 Ley 1607/2012) 
 (2)</t>
  </si>
  <si>
    <t xml:space="preserve"> IVA 19% sobre AIU
 (3)</t>
  </si>
  <si>
    <t>Total con IVA
(Cantidad * valor total * meses)</t>
  </si>
  <si>
    <t xml:space="preserve">más 10% de incremento </t>
  </si>
  <si>
    <t>PROFORMA No. 5 ANEXO 2 - PRESUPUESTO TOTAL 22,5 MESES SERVICIOS NO REGULADOS</t>
  </si>
  <si>
    <t>VALOR (AÑO 2023) (1)</t>
  </si>
  <si>
    <t xml:space="preserve">Circuitos Cerrados de Cámaras de Seguridad en las siguientes instalaciones: 
-Edificio Administrativo - carrera 16 A No. 79-08 
-Centro de Lenguas - Calle 79 No. 16-32
-Instituto Pedagógico Nacional - Avenida calle 127 No. 11-20 -, 
-Casona El Nogal – calle 78 No. 9-92 
-Casa Nogal 78 No 9-53  
-Casa del Parque Nacional – calle 39 No. 1-60 Este 
-Casa predio San José en Villeta (Cund.)
-Casa predio Siete Cueros en Fusagasugá (Cund.), 
-Instalaciones Valmaría – calle 183 No. 54 D esquina 
-Edificio post-grados  - carrera 9 No. 70-69  
-Parqueadero de la calle 72 - y fachada  Norte Edificio P Calle 73-. </t>
  </si>
  <si>
    <t>SERVICIOS MEDIOS TECNOLÓGICOS - VIGENCIA 2024</t>
  </si>
  <si>
    <t>VALOR (AÑO 2024) (1)</t>
  </si>
  <si>
    <t>CUADRO RESUMEN VALOR TODOS LOS SERVICIOS NO REGULADOS PARA 22,5 MESES (SUMATORIA TOTALES)</t>
  </si>
  <si>
    <t>VALOR TOTAL 22,5 MESES</t>
  </si>
  <si>
    <t xml:space="preserve">TOTAL SERVICIOS REGULADOS </t>
  </si>
  <si>
    <t xml:space="preserve">Supervisión 24 Horas Permanente </t>
  </si>
  <si>
    <t>SUPERVISION 24 HORAS PERMANENTE</t>
  </si>
  <si>
    <t xml:space="preserve">SUPERVISION 24 HORAS PERMANENTE </t>
  </si>
  <si>
    <t xml:space="preserve">SERVICIO NO REGULADO </t>
  </si>
  <si>
    <t>SERVICIOS Y  MEDIOS TECNOLÓGICOS - VIGENCIA 2023</t>
  </si>
  <si>
    <t>CUADRO RESUMEN VALOR TODOS LOS SERVICIOS REGULADOS</t>
  </si>
  <si>
    <t>TARIFA 2024
(incluido $6,000 PRIMA SEGURO DE VIDA)
TARIFA 2024 con incremento del 10% sobre tarifa 2023 -  (el porcentaje se toma de acuerdo al SUPUESTOS MACROECONÓMICOS)</t>
  </si>
  <si>
    <r>
      <t xml:space="preserve">TARIFA 2024
(incluido $6,000 PRIMA SEGURO DE VIDA)
</t>
    </r>
    <r>
      <rPr>
        <b/>
        <sz val="11"/>
        <color theme="1"/>
        <rFont val="Helvetica"/>
      </rPr>
      <t>TARIFA 2024 con incremento del 10% sobre tarifa 2023 -  (el porcentaje se toma de acuerdo al SUPUESTOS MACROECONÓMICOS)</t>
    </r>
  </si>
  <si>
    <t>TARIFA 2023 
(incluido $6,000 PRIMA SEGURO DE VIDA)
TARIFA 2023 con incremento del 10% sobre tarifa 2022 -  (el porcentaje se toma de acuerdo al SUPUESTOS MACROECONÓMICOS)</t>
  </si>
  <si>
    <t>SERVICIOS DE VIGILANCIA Y SEGURIDAD PRIVADA  EN PERIODO DE NO CLASES 2023 - 1,5 MESES
(DEL 16 DE JUNIO AL 15 DE JULIO Y DEL 16 AL 31 DE DICIEMBRE)</t>
  </si>
  <si>
    <t>13 HORAS DE LUNES A SÁBADO (6:00 AM A 07:00 PM) SIN FESTIVO CON ARMA</t>
  </si>
  <si>
    <t>UNIVERSIDAD PEDAGÓGICA NACIONAL 
FORMULA</t>
  </si>
  <si>
    <t>PROFORMA 5 ANEXO 1 -  PARA LOS SERVICIOS DE VIGILANCIA Y SEGURIDAD PRIVADA REGULADOS POR LA SUPERVIGILANCIA</t>
  </si>
  <si>
    <t xml:space="preserve">PROFORMA 5 - SERVICIOS DE VIGILANCIA Y SEGURIDAD PRIVADA PARA LA UPN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</si>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</sst>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[$$-240A]\ * #,##0_);_([$$-240A]\ * \(#,##0\);_([$$-240A]\ * &quot;-&quot;??_);_(@_)"/>
    <numFmt numFmtId="168" formatCode="_(&quot;$&quot;\ * #,##0_);_(&quot;$&quot;\ * \(#,##0\);_(&quot;$&quot;\ * &quot;-&quot;??_);_(@_)"/>
    <numFmt numFmtId="169" formatCode="0.000%"/>
    <numFmt numFmtId="170" formatCode="#,##0.0"/>
    <numFmt numFmtId="171" formatCode="_(&quot;$&quot;\ * #,##0_);_(&quot;$&quot;\ * \(#,##0\);_(&quot;$&quot;\ 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"/>
    </font>
    <font>
      <sz val="16"/>
      <color theme="1"/>
      <name val="HELVETICA"/>
    </font>
    <font>
      <b/>
      <sz val="16"/>
      <color indexed="8"/>
      <name val="HELVETICA"/>
    </font>
    <font>
      <sz val="16"/>
      <color indexed="8"/>
      <name val="HELVETICA"/>
    </font>
    <font>
      <sz val="18"/>
      <color theme="1"/>
      <name val="HELVETICA"/>
    </font>
    <font>
      <b/>
      <sz val="16"/>
      <color theme="1"/>
      <name val="Helvetica"/>
      <family val="2"/>
    </font>
    <font>
      <sz val="16"/>
      <color theme="1"/>
      <name val="Helvetica"/>
      <family val="2"/>
    </font>
    <font>
      <sz val="16"/>
      <color rgb="FF000000"/>
      <name val="Arial"/>
      <family val="2"/>
    </font>
    <font>
      <sz val="16"/>
      <name val="Helvetic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HELVETICA"/>
    </font>
    <font>
      <b/>
      <sz val="11"/>
      <color theme="1"/>
      <name val="Helvetica"/>
    </font>
    <font>
      <b/>
      <sz val="10"/>
      <color theme="1"/>
      <name val="Arial"/>
      <family val="2"/>
    </font>
    <font>
      <b/>
      <sz val="11"/>
      <color indexed="8"/>
      <name val="HELVETICA"/>
    </font>
    <font>
      <sz val="11"/>
      <color indexed="8"/>
      <name val="HELVETICA"/>
    </font>
    <font>
      <sz val="11"/>
      <color rgb="FFFF0000"/>
      <name val="HELVETICA"/>
    </font>
    <font>
      <sz val="11"/>
      <name val="Calibri"/>
      <family val="2"/>
      <scheme val="minor"/>
    </font>
    <font>
      <b/>
      <sz val="11"/>
      <color theme="1"/>
      <name val="Helvetic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55">
    <xf numFmtId="0" fontId="0" fillId="0" borderId="0" xfId="0"/>
    <xf numFmtId="3" fontId="3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6" fontId="3" fillId="0" borderId="0" xfId="2" applyNumberFormat="1" applyFont="1" applyBorder="1" applyAlignment="1">
      <alignment vertical="center"/>
    </xf>
    <xf numFmtId="9" fontId="3" fillId="0" borderId="0" xfId="3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9" fontId="3" fillId="0" borderId="0" xfId="3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wrapText="1"/>
    </xf>
    <xf numFmtId="170" fontId="3" fillId="3" borderId="1" xfId="0" applyNumberFormat="1" applyFont="1" applyFill="1" applyBorder="1" applyAlignment="1">
      <alignment horizontal="right" vertical="center"/>
    </xf>
    <xf numFmtId="10" fontId="3" fillId="3" borderId="1" xfId="3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9" fontId="3" fillId="3" borderId="1" xfId="3" applyFont="1" applyFill="1" applyBorder="1" applyAlignment="1">
      <alignment horizontal="right" vertical="center"/>
    </xf>
    <xf numFmtId="166" fontId="3" fillId="3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wrapText="1"/>
    </xf>
    <xf numFmtId="170" fontId="3" fillId="0" borderId="1" xfId="0" applyNumberFormat="1" applyFont="1" applyBorder="1" applyAlignment="1">
      <alignment horizontal="right" vertical="center"/>
    </xf>
    <xf numFmtId="10" fontId="3" fillId="0" borderId="1" xfId="3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6" borderId="1" xfId="0" applyNumberFormat="1" applyFont="1" applyFill="1" applyBorder="1" applyAlignment="1">
      <alignment vertical="center"/>
    </xf>
    <xf numFmtId="9" fontId="3" fillId="0" borderId="1" xfId="3" applyFont="1" applyBorder="1" applyAlignment="1">
      <alignment horizontal="right" vertical="center"/>
    </xf>
    <xf numFmtId="166" fontId="3" fillId="0" borderId="1" xfId="2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167" fontId="10" fillId="0" borderId="1" xfId="2" applyNumberFormat="1" applyFont="1" applyFill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168" fontId="8" fillId="0" borderId="1" xfId="2" applyNumberFormat="1" applyFont="1" applyFill="1" applyBorder="1" applyAlignment="1">
      <alignment vertical="center"/>
    </xf>
    <xf numFmtId="165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3" fontId="8" fillId="0" borderId="1" xfId="0" applyNumberFormat="1" applyFont="1" applyBorder="1" applyAlignment="1">
      <alignment horizontal="justify" vertical="center" wrapText="1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166" fontId="8" fillId="0" borderId="0" xfId="2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166" fontId="8" fillId="0" borderId="0" xfId="2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 wrapText="1"/>
    </xf>
    <xf numFmtId="170" fontId="3" fillId="5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7" fillId="7" borderId="1" xfId="2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166" fontId="7" fillId="8" borderId="1" xfId="2" applyNumberFormat="1" applyFont="1" applyFill="1" applyBorder="1" applyAlignment="1">
      <alignment vertical="center"/>
    </xf>
    <xf numFmtId="166" fontId="7" fillId="9" borderId="1" xfId="2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justify"/>
    </xf>
    <xf numFmtId="166" fontId="7" fillId="0" borderId="1" xfId="2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4" fillId="1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171" fontId="0" fillId="14" borderId="1" xfId="5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3" fontId="16" fillId="0" borderId="1" xfId="0" applyNumberFormat="1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66" fontId="13" fillId="0" borderId="0" xfId="2" applyNumberFormat="1" applyFont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wrapText="1"/>
    </xf>
    <xf numFmtId="3" fontId="17" fillId="0" borderId="0" xfId="0" applyNumberFormat="1" applyFont="1" applyAlignment="1">
      <alignment vertical="center"/>
    </xf>
    <xf numFmtId="9" fontId="13" fillId="0" borderId="0" xfId="3" applyFont="1" applyBorder="1" applyAlignment="1">
      <alignment horizontal="center" vertical="center"/>
    </xf>
    <xf numFmtId="3" fontId="17" fillId="0" borderId="0" xfId="0" applyNumberFormat="1" applyFont="1" applyAlignment="1">
      <alignment horizontal="left" vertical="center"/>
    </xf>
    <xf numFmtId="3" fontId="17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wrapText="1"/>
    </xf>
    <xf numFmtId="3" fontId="14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6" fontId="16" fillId="0" borderId="1" xfId="2" applyNumberFormat="1" applyFont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right" wrapText="1"/>
    </xf>
    <xf numFmtId="170" fontId="13" fillId="3" borderId="1" xfId="0" applyNumberFormat="1" applyFont="1" applyFill="1" applyBorder="1" applyAlignment="1">
      <alignment horizontal="right" vertical="center"/>
    </xf>
    <xf numFmtId="10" fontId="13" fillId="3" borderId="1" xfId="3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170" fontId="13" fillId="5" borderId="1" xfId="0" applyNumberFormat="1" applyFont="1" applyFill="1" applyBorder="1" applyAlignment="1">
      <alignment horizontal="right" vertical="center"/>
    </xf>
    <xf numFmtId="9" fontId="13" fillId="3" borderId="1" xfId="3" applyFont="1" applyFill="1" applyBorder="1" applyAlignment="1">
      <alignment horizontal="right" vertical="center"/>
    </xf>
    <xf numFmtId="166" fontId="13" fillId="3" borderId="1" xfId="2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right" vertical="center"/>
    </xf>
    <xf numFmtId="10" fontId="13" fillId="0" borderId="1" xfId="3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3" fillId="6" borderId="1" xfId="0" applyNumberFormat="1" applyFont="1" applyFill="1" applyBorder="1" applyAlignment="1">
      <alignment vertical="center"/>
    </xf>
    <xf numFmtId="9" fontId="13" fillId="0" borderId="1" xfId="3" applyFont="1" applyBorder="1" applyAlignment="1">
      <alignment horizontal="right" vertical="center"/>
    </xf>
    <xf numFmtId="166" fontId="13" fillId="0" borderId="1" xfId="2" applyNumberFormat="1" applyFont="1" applyBorder="1" applyAlignment="1">
      <alignment horizontal="right" vertical="center"/>
    </xf>
    <xf numFmtId="3" fontId="13" fillId="3" borderId="1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 wrapText="1"/>
    </xf>
    <xf numFmtId="166" fontId="13" fillId="0" borderId="0" xfId="2" applyNumberFormat="1" applyFont="1" applyAlignment="1">
      <alignment vertical="center"/>
    </xf>
    <xf numFmtId="3" fontId="17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164" fontId="13" fillId="0" borderId="0" xfId="2" applyFont="1" applyBorder="1" applyAlignment="1">
      <alignment vertical="center"/>
    </xf>
    <xf numFmtId="0" fontId="0" fillId="0" borderId="1" xfId="0" applyBorder="1"/>
    <xf numFmtId="164" fontId="13" fillId="0" borderId="1" xfId="2" applyFont="1" applyBorder="1" applyAlignment="1">
      <alignment vertical="center"/>
    </xf>
    <xf numFmtId="164" fontId="14" fillId="0" borderId="1" xfId="2" applyFont="1" applyBorder="1" applyAlignment="1">
      <alignment vertical="center"/>
    </xf>
    <xf numFmtId="164" fontId="17" fillId="0" borderId="1" xfId="2" applyFont="1" applyBorder="1" applyAlignment="1">
      <alignment vertical="center"/>
    </xf>
    <xf numFmtId="3" fontId="16" fillId="0" borderId="1" xfId="0" applyNumberFormat="1" applyFont="1" applyBorder="1" applyAlignment="1">
      <alignment vertical="center" wrapText="1"/>
    </xf>
    <xf numFmtId="3" fontId="13" fillId="14" borderId="1" xfId="0" applyNumberFormat="1" applyFont="1" applyFill="1" applyBorder="1" applyAlignment="1">
      <alignment horizontal="center" vertical="center" wrapText="1"/>
    </xf>
    <xf numFmtId="3" fontId="13" fillId="14" borderId="1" xfId="0" applyNumberFormat="1" applyFont="1" applyFill="1" applyBorder="1" applyAlignment="1">
      <alignment horizontal="center" vertical="center"/>
    </xf>
    <xf numFmtId="3" fontId="13" fillId="14" borderId="1" xfId="0" applyNumberFormat="1" applyFont="1" applyFill="1" applyBorder="1" applyAlignment="1">
      <alignment horizontal="right" wrapText="1"/>
    </xf>
    <xf numFmtId="3" fontId="18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wrapText="1"/>
    </xf>
    <xf numFmtId="0" fontId="19" fillId="0" borderId="0" xfId="0" applyFont="1"/>
    <xf numFmtId="0" fontId="12" fillId="0" borderId="0" xfId="0" applyFont="1"/>
    <xf numFmtId="170" fontId="13" fillId="0" borderId="0" xfId="0" applyNumberFormat="1" applyFont="1"/>
    <xf numFmtId="3" fontId="20" fillId="0" borderId="1" xfId="0" applyNumberFormat="1" applyFont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70" fontId="13" fillId="2" borderId="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center" vertical="center" wrapText="1"/>
    </xf>
    <xf numFmtId="166" fontId="7" fillId="8" borderId="7" xfId="2" applyNumberFormat="1" applyFont="1" applyFill="1" applyBorder="1" applyAlignment="1">
      <alignment vertical="center"/>
    </xf>
    <xf numFmtId="166" fontId="7" fillId="9" borderId="7" xfId="2" applyNumberFormat="1" applyFont="1" applyFill="1" applyBorder="1" applyAlignment="1">
      <alignment vertical="center"/>
    </xf>
    <xf numFmtId="166" fontId="7" fillId="0" borderId="17" xfId="2" applyNumberFormat="1" applyFont="1" applyBorder="1" applyAlignment="1">
      <alignment vertical="center"/>
    </xf>
    <xf numFmtId="0" fontId="13" fillId="15" borderId="1" xfId="0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166" fontId="7" fillId="8" borderId="7" xfId="2" applyNumberFormat="1" applyFont="1" applyFill="1" applyBorder="1" applyAlignment="1">
      <alignment horizontal="center" vertical="center" wrapText="1"/>
    </xf>
    <xf numFmtId="166" fontId="7" fillId="9" borderId="7" xfId="2" applyNumberFormat="1" applyFont="1" applyFill="1" applyBorder="1" applyAlignment="1">
      <alignment horizontal="center" vertical="center" wrapText="1"/>
    </xf>
    <xf numFmtId="166" fontId="7" fillId="0" borderId="17" xfId="2" applyNumberFormat="1" applyFont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167" fontId="8" fillId="0" borderId="7" xfId="2" applyNumberFormat="1" applyFont="1" applyFill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166" fontId="7" fillId="8" borderId="17" xfId="2" applyNumberFormat="1" applyFont="1" applyFill="1" applyBorder="1" applyAlignment="1">
      <alignment vertical="center"/>
    </xf>
    <xf numFmtId="166" fontId="7" fillId="13" borderId="17" xfId="2" applyNumberFormat="1" applyFont="1" applyFill="1" applyBorder="1" applyAlignment="1">
      <alignment vertical="center"/>
    </xf>
    <xf numFmtId="0" fontId="14" fillId="15" borderId="1" xfId="0" applyFont="1" applyFill="1" applyBorder="1" applyAlignment="1">
      <alignment horizontal="center" vertical="center" wrapText="1"/>
    </xf>
    <xf numFmtId="3" fontId="13" fillId="15" borderId="1" xfId="0" applyNumberFormat="1" applyFont="1" applyFill="1" applyBorder="1" applyAlignment="1">
      <alignment horizontal="center" vertical="center"/>
    </xf>
    <xf numFmtId="3" fontId="13" fillId="15" borderId="1" xfId="0" applyNumberFormat="1" applyFont="1" applyFill="1" applyBorder="1" applyAlignment="1">
      <alignment horizontal="center" vertical="center" wrapText="1"/>
    </xf>
    <xf numFmtId="3" fontId="13" fillId="15" borderId="1" xfId="0" applyNumberFormat="1" applyFont="1" applyFill="1" applyBorder="1" applyAlignment="1">
      <alignment horizontal="right" wrapText="1"/>
    </xf>
    <xf numFmtId="170" fontId="13" fillId="15" borderId="1" xfId="0" applyNumberFormat="1" applyFont="1" applyFill="1" applyBorder="1" applyAlignment="1">
      <alignment horizontal="right" vertical="center"/>
    </xf>
    <xf numFmtId="10" fontId="13" fillId="15" borderId="1" xfId="3" applyNumberFormat="1" applyFont="1" applyFill="1" applyBorder="1" applyAlignment="1">
      <alignment horizontal="right" vertical="center"/>
    </xf>
    <xf numFmtId="3" fontId="13" fillId="15" borderId="1" xfId="0" applyNumberFormat="1" applyFont="1" applyFill="1" applyBorder="1" applyAlignment="1">
      <alignment horizontal="right" vertical="center"/>
    </xf>
    <xf numFmtId="3" fontId="13" fillId="15" borderId="1" xfId="0" applyNumberFormat="1" applyFont="1" applyFill="1" applyBorder="1" applyAlignment="1">
      <alignment vertical="center"/>
    </xf>
    <xf numFmtId="9" fontId="13" fillId="15" borderId="1" xfId="3" applyFont="1" applyFill="1" applyBorder="1" applyAlignment="1">
      <alignment horizontal="right" vertical="center"/>
    </xf>
    <xf numFmtId="166" fontId="13" fillId="15" borderId="1" xfId="2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166" fontId="8" fillId="0" borderId="7" xfId="2" applyNumberFormat="1" applyFont="1" applyFill="1" applyBorder="1" applyAlignment="1">
      <alignment vertical="center"/>
    </xf>
    <xf numFmtId="166" fontId="7" fillId="9" borderId="17" xfId="2" applyNumberFormat="1" applyFont="1" applyFill="1" applyBorder="1" applyAlignment="1">
      <alignment vertical="center"/>
    </xf>
    <xf numFmtId="0" fontId="15" fillId="15" borderId="1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1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textRotation="90"/>
    </xf>
    <xf numFmtId="0" fontId="14" fillId="11" borderId="1" xfId="0" applyFont="1" applyFill="1" applyBorder="1" applyAlignment="1">
      <alignment horizontal="center" vertical="center" textRotation="90"/>
    </xf>
    <xf numFmtId="0" fontId="14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textRotation="90"/>
    </xf>
    <xf numFmtId="3" fontId="8" fillId="7" borderId="8" xfId="0" applyNumberFormat="1" applyFont="1" applyFill="1" applyBorder="1" applyAlignment="1">
      <alignment horizontal="center" vertical="center"/>
    </xf>
    <xf numFmtId="3" fontId="8" fillId="7" borderId="12" xfId="0" applyNumberFormat="1" applyFont="1" applyFill="1" applyBorder="1" applyAlignment="1">
      <alignment horizontal="center" vertical="center"/>
    </xf>
    <xf numFmtId="3" fontId="8" fillId="7" borderId="13" xfId="0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8" fillId="5" borderId="25" xfId="0" applyNumberFormat="1" applyFont="1" applyFill="1" applyBorder="1" applyAlignment="1">
      <alignment horizontal="center" vertical="center"/>
    </xf>
    <xf numFmtId="3" fontId="8" fillId="5" borderId="26" xfId="0" applyNumberFormat="1" applyFont="1" applyFill="1" applyBorder="1" applyAlignment="1">
      <alignment horizontal="center" vertical="center"/>
    </xf>
    <xf numFmtId="3" fontId="8" fillId="5" borderId="2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 wrapText="1"/>
    </xf>
    <xf numFmtId="3" fontId="7" fillId="9" borderId="10" xfId="0" applyNumberFormat="1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3" fontId="7" fillId="8" borderId="10" xfId="0" applyNumberFormat="1" applyFont="1" applyFill="1" applyBorder="1" applyAlignment="1">
      <alignment horizontal="center" vertical="center" wrapText="1"/>
    </xf>
    <xf numFmtId="3" fontId="7" fillId="8" borderId="10" xfId="0" applyNumberFormat="1" applyFont="1" applyFill="1" applyBorder="1" applyAlignment="1">
      <alignment horizontal="center" vertical="center"/>
    </xf>
    <xf numFmtId="3" fontId="7" fillId="8" borderId="11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7" fillId="13" borderId="21" xfId="0" applyNumberFormat="1" applyFont="1" applyFill="1" applyBorder="1" applyAlignment="1">
      <alignment horizontal="center" vertical="center" wrapText="1"/>
    </xf>
    <xf numFmtId="3" fontId="7" fillId="13" borderId="22" xfId="0" applyNumberFormat="1" applyFont="1" applyFill="1" applyBorder="1" applyAlignment="1">
      <alignment horizontal="center" vertical="center" wrapText="1"/>
    </xf>
    <xf numFmtId="3" fontId="7" fillId="13" borderId="23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/>
    </xf>
    <xf numFmtId="3" fontId="8" fillId="7" borderId="8" xfId="0" applyNumberFormat="1" applyFont="1" applyFill="1" applyBorder="1" applyAlignment="1">
      <alignment horizontal="center" vertical="center" wrapText="1"/>
    </xf>
    <xf numFmtId="3" fontId="8" fillId="7" borderId="12" xfId="0" applyNumberFormat="1" applyFont="1" applyFill="1" applyBorder="1" applyAlignment="1">
      <alignment horizontal="center" vertical="center" wrapText="1"/>
    </xf>
    <xf numFmtId="3" fontId="8" fillId="7" borderId="18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 wrapText="1"/>
    </xf>
    <xf numFmtId="3" fontId="7" fillId="8" borderId="22" xfId="0" applyNumberFormat="1" applyFont="1" applyFill="1" applyBorder="1" applyAlignment="1">
      <alignment horizontal="center" vertical="center" wrapText="1"/>
    </xf>
    <xf numFmtId="3" fontId="7" fillId="8" borderId="23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4" xr:uid="{00000000-0005-0000-0000-000001000000}"/>
    <cellStyle name="Moneda" xfId="2" builtinId="4"/>
    <cellStyle name="Moneda [0] 2" xfId="5" xr:uid="{D54FA131-AA40-414C-8C83-600E8C397D89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123825</xdr:rowOff>
    </xdr:from>
    <xdr:to>
      <xdr:col>8</xdr:col>
      <xdr:colOff>265932</xdr:colOff>
      <xdr:row>29</xdr:row>
      <xdr:rowOff>75563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F34839-EB49-4F50-BFE4-9A7885D8C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504825"/>
          <a:ext cx="6142857" cy="5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30</xdr:row>
      <xdr:rowOff>19050</xdr:rowOff>
    </xdr:from>
    <xdr:to>
      <xdr:col>7</xdr:col>
      <xdr:colOff>694600</xdr:colOff>
      <xdr:row>35</xdr:row>
      <xdr:rowOff>95121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B058D6-D1EC-4D2E-8285-CDC1D1C99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5734050"/>
          <a:ext cx="5800000" cy="1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34</xdr:row>
      <xdr:rowOff>171450</xdr:rowOff>
    </xdr:from>
    <xdr:to>
      <xdr:col>7</xdr:col>
      <xdr:colOff>723175</xdr:colOff>
      <xdr:row>38</xdr:row>
      <xdr:rowOff>38021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E9C1DF-660C-4CF0-A022-E606A5FDF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6648450"/>
          <a:ext cx="5800000" cy="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39</xdr:row>
      <xdr:rowOff>142875</xdr:rowOff>
    </xdr:from>
    <xdr:to>
      <xdr:col>8</xdr:col>
      <xdr:colOff>418327</xdr:colOff>
      <xdr:row>66</xdr:row>
      <xdr:rowOff>18423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F034EA-0995-455E-94F9-9F6417442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" y="7572375"/>
          <a:ext cx="6180952" cy="50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POVEDA/AppData/Local/Microsoft/Windows/Temporary%20Internet%20Files/Content.Outlook/URKSKYOO/Proforma%20Econ&#243;mica%20-%20Evaluaci&#243;n%20Vigilancia%20-%20Convocator&#237;a%20No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CLASE"/>
      <sheetName val="Servicios NO clase (2)"/>
      <sheetName val="Proforma No. 8 Económica final"/>
      <sheetName val="ANEXO 1 REGULADOS"/>
      <sheetName val="ANEXO 2-Presup No regulados"/>
    </sheetNames>
    <sheetDataSet>
      <sheetData sheetId="0">
        <row r="51">
          <cell r="C51">
            <v>18</v>
          </cell>
          <cell r="D51">
            <v>1</v>
          </cell>
          <cell r="E51">
            <v>18</v>
          </cell>
          <cell r="F51">
            <v>2</v>
          </cell>
          <cell r="G51">
            <v>2</v>
          </cell>
          <cell r="H51">
            <v>3</v>
          </cell>
          <cell r="I51">
            <v>1</v>
          </cell>
          <cell r="J51">
            <v>1</v>
          </cell>
          <cell r="K51">
            <v>1</v>
          </cell>
        </row>
      </sheetData>
      <sheetData sheetId="1">
        <row r="51">
          <cell r="C51">
            <v>18</v>
          </cell>
        </row>
      </sheetData>
      <sheetData sheetId="2"/>
      <sheetData sheetId="3">
        <row r="102">
          <cell r="B102" t="str">
            <v xml:space="preserve">VERIFICACIÓN UPN </v>
          </cell>
        </row>
      </sheetData>
      <sheetData sheetId="4">
        <row r="17">
          <cell r="N17">
            <v>8342641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"/>
  <sheetViews>
    <sheetView topLeftCell="A94" zoomScale="55" zoomScaleNormal="55" workbookViewId="0">
      <selection activeCell="J96" sqref="J96"/>
    </sheetView>
  </sheetViews>
  <sheetFormatPr baseColWidth="10" defaultColWidth="11.5" defaultRowHeight="21" x14ac:dyDescent="0.2"/>
  <cols>
    <col min="1" max="1" width="11.5" style="33"/>
    <col min="2" max="2" width="14.5" style="45" customWidth="1"/>
    <col min="3" max="3" width="93.5" style="46" customWidth="1"/>
    <col min="4" max="4" width="20.1640625" style="45" customWidth="1"/>
    <col min="5" max="5" width="35.5" style="33" customWidth="1"/>
    <col min="6" max="6" width="31.5" style="33" customWidth="1"/>
    <col min="7" max="7" width="40.6640625" style="47" customWidth="1"/>
    <col min="8" max="8" width="28" style="33" customWidth="1"/>
    <col min="9" max="9" width="34" style="33" customWidth="1"/>
    <col min="10" max="10" width="31.5" style="33" customWidth="1"/>
    <col min="11" max="11" width="35.33203125" style="33" customWidth="1"/>
    <col min="12" max="12" width="11.5" style="33" customWidth="1"/>
    <col min="13" max="13" width="25.6640625" style="33" customWidth="1"/>
    <col min="14" max="14" width="21.83203125" style="33" bestFit="1" customWidth="1"/>
    <col min="15" max="15" width="18.5" style="33" bestFit="1" customWidth="1"/>
    <col min="16" max="21" width="27.83203125" style="33" customWidth="1"/>
    <col min="22" max="16384" width="11.5" style="33"/>
  </cols>
  <sheetData>
    <row r="1" spans="1:11" ht="28.5" customHeight="1" x14ac:dyDescent="0.2">
      <c r="A1" s="17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x14ac:dyDescent="0.2">
      <c r="A2" s="178" t="s">
        <v>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x14ac:dyDescent="0.2">
      <c r="A3" s="178" t="s">
        <v>52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5" spans="1:11" ht="28.5" customHeight="1" x14ac:dyDescent="0.2">
      <c r="A5" s="178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28.5" customHeight="1" x14ac:dyDescent="0.2">
      <c r="A6" s="59"/>
      <c r="B6" s="59"/>
      <c r="C6" s="59"/>
      <c r="D6" s="59"/>
      <c r="E6" s="34"/>
      <c r="F6" s="34"/>
      <c r="G6" s="34"/>
    </row>
    <row r="7" spans="1:11" ht="48.75" customHeight="1" x14ac:dyDescent="0.2">
      <c r="A7" s="179">
        <v>1</v>
      </c>
      <c r="B7" s="180" t="s">
        <v>68</v>
      </c>
      <c r="C7" s="180"/>
      <c r="D7" s="180"/>
      <c r="E7" s="181" t="s">
        <v>66</v>
      </c>
      <c r="F7" s="181"/>
      <c r="G7" s="181"/>
      <c r="H7" s="181"/>
      <c r="I7" s="181"/>
      <c r="J7" s="181"/>
      <c r="K7" s="181"/>
    </row>
    <row r="8" spans="1:11" ht="75.75" customHeight="1" x14ac:dyDescent="0.2">
      <c r="A8" s="179"/>
      <c r="B8" s="63" t="s">
        <v>1</v>
      </c>
      <c r="C8" s="40" t="s">
        <v>2</v>
      </c>
      <c r="D8" s="63" t="s">
        <v>3</v>
      </c>
      <c r="E8" s="64" t="s">
        <v>65</v>
      </c>
      <c r="F8" s="64" t="s">
        <v>5</v>
      </c>
      <c r="G8" s="64" t="s">
        <v>6</v>
      </c>
      <c r="H8" s="64" t="s">
        <v>7</v>
      </c>
      <c r="I8" s="64" t="s">
        <v>8</v>
      </c>
      <c r="J8" s="64" t="s">
        <v>9</v>
      </c>
      <c r="K8" s="65" t="s">
        <v>10</v>
      </c>
    </row>
    <row r="9" spans="1:11" ht="32.25" customHeight="1" x14ac:dyDescent="0.2">
      <c r="A9" s="179"/>
      <c r="B9" s="36" t="s">
        <v>11</v>
      </c>
      <c r="C9" s="35" t="s">
        <v>53</v>
      </c>
      <c r="D9" s="36">
        <f>+'[1]Servicios CLASE'!C51</f>
        <v>18</v>
      </c>
      <c r="E9" s="38">
        <f>+K123</f>
        <v>8800000</v>
      </c>
      <c r="F9" s="37">
        <f>+E9*10/100+E9</f>
        <v>9680000</v>
      </c>
      <c r="G9" s="37">
        <f>+F9*10%</f>
        <v>968000</v>
      </c>
      <c r="H9" s="37">
        <f>+G9*0.19</f>
        <v>183920</v>
      </c>
      <c r="I9" s="38">
        <f>F9+H9</f>
        <v>9863920</v>
      </c>
      <c r="J9" s="39">
        <v>0.5</v>
      </c>
      <c r="K9" s="66">
        <f t="shared" ref="K9:K19" si="0">+D9*I9*J9</f>
        <v>88775280</v>
      </c>
    </row>
    <row r="10" spans="1:11" ht="32.25" customHeight="1" x14ac:dyDescent="0.2">
      <c r="A10" s="179"/>
      <c r="B10" s="36" t="s">
        <v>12</v>
      </c>
      <c r="C10" s="35" t="s">
        <v>54</v>
      </c>
      <c r="D10" s="36">
        <f>+'[1]Servicios CLASE'!D51</f>
        <v>1</v>
      </c>
      <c r="E10" s="38">
        <f>+K124</f>
        <v>8800000</v>
      </c>
      <c r="F10" s="37">
        <f>+E10*8/100+E10</f>
        <v>9504000</v>
      </c>
      <c r="G10" s="37">
        <f t="shared" ref="G10:G16" si="1">+F10*10%</f>
        <v>950400</v>
      </c>
      <c r="H10" s="37">
        <f t="shared" ref="H10:H16" si="2">+G10*0.19</f>
        <v>180576</v>
      </c>
      <c r="I10" s="38">
        <f t="shared" ref="I10:I16" si="3">F10+H10</f>
        <v>9684576</v>
      </c>
      <c r="J10" s="39">
        <v>0.5</v>
      </c>
      <c r="K10" s="66">
        <f t="shared" si="0"/>
        <v>4842288</v>
      </c>
    </row>
    <row r="11" spans="1:11" ht="32.25" customHeight="1" x14ac:dyDescent="0.2">
      <c r="A11" s="179"/>
      <c r="B11" s="36" t="s">
        <v>13</v>
      </c>
      <c r="C11" s="35" t="s">
        <v>55</v>
      </c>
      <c r="D11" s="36">
        <f>+'[1]Servicios CLASE'!E51</f>
        <v>18</v>
      </c>
      <c r="E11" s="38">
        <f>+K125</f>
        <v>3940288</v>
      </c>
      <c r="F11" s="37">
        <f>+E11*8/100+E11</f>
        <v>4255511</v>
      </c>
      <c r="G11" s="37">
        <f t="shared" si="1"/>
        <v>425551</v>
      </c>
      <c r="H11" s="37">
        <f t="shared" si="2"/>
        <v>80855</v>
      </c>
      <c r="I11" s="38">
        <f t="shared" si="3"/>
        <v>4336366</v>
      </c>
      <c r="J11" s="39">
        <v>0.5</v>
      </c>
      <c r="K11" s="66">
        <f t="shared" si="0"/>
        <v>39027294</v>
      </c>
    </row>
    <row r="12" spans="1:11" ht="32.25" customHeight="1" x14ac:dyDescent="0.2">
      <c r="A12" s="179"/>
      <c r="B12" s="36" t="s">
        <v>14</v>
      </c>
      <c r="C12" s="35" t="s">
        <v>56</v>
      </c>
      <c r="D12" s="36">
        <f>+'[1]Servicios CLASE'!F51</f>
        <v>2</v>
      </c>
      <c r="E12" s="38">
        <f>+K126</f>
        <v>2626859</v>
      </c>
      <c r="F12" s="37">
        <f>+E12*8/100+E12</f>
        <v>2837008</v>
      </c>
      <c r="G12" s="37">
        <f t="shared" si="1"/>
        <v>283701</v>
      </c>
      <c r="H12" s="37">
        <f t="shared" si="2"/>
        <v>53903</v>
      </c>
      <c r="I12" s="38">
        <f t="shared" si="3"/>
        <v>2890911</v>
      </c>
      <c r="J12" s="39">
        <v>0.5</v>
      </c>
      <c r="K12" s="66">
        <f t="shared" si="0"/>
        <v>2890911</v>
      </c>
    </row>
    <row r="13" spans="1:11" ht="32.25" customHeight="1" x14ac:dyDescent="0.2">
      <c r="A13" s="179"/>
      <c r="B13" s="36" t="s">
        <v>15</v>
      </c>
      <c r="C13" s="35" t="s">
        <v>57</v>
      </c>
      <c r="D13" s="36">
        <f>+'[1]Servicios CLASE'!G51</f>
        <v>2</v>
      </c>
      <c r="E13" s="38">
        <f>+K127</f>
        <v>8800000</v>
      </c>
      <c r="F13" s="37">
        <f>+E13*11/100+E13</f>
        <v>9768000</v>
      </c>
      <c r="G13" s="37">
        <f t="shared" si="1"/>
        <v>976800</v>
      </c>
      <c r="H13" s="37">
        <f t="shared" si="2"/>
        <v>185592</v>
      </c>
      <c r="I13" s="38">
        <f t="shared" si="3"/>
        <v>9953592</v>
      </c>
      <c r="J13" s="39">
        <v>0.5</v>
      </c>
      <c r="K13" s="66">
        <f t="shared" si="0"/>
        <v>9953592</v>
      </c>
    </row>
    <row r="14" spans="1:11" ht="32.25" customHeight="1" x14ac:dyDescent="0.2">
      <c r="A14" s="179"/>
      <c r="B14" s="36" t="s">
        <v>16</v>
      </c>
      <c r="C14" s="35" t="s">
        <v>58</v>
      </c>
      <c r="D14" s="36">
        <f>+'[1]Servicios CLASE'!H51</f>
        <v>3</v>
      </c>
      <c r="E14" s="38">
        <f>+K129</f>
        <v>3152230</v>
      </c>
      <c r="F14" s="37">
        <f>+E14*8/100+E14</f>
        <v>3404408</v>
      </c>
      <c r="G14" s="37">
        <f t="shared" si="1"/>
        <v>340441</v>
      </c>
      <c r="H14" s="37">
        <f t="shared" si="2"/>
        <v>64684</v>
      </c>
      <c r="I14" s="38">
        <f t="shared" si="3"/>
        <v>3469092</v>
      </c>
      <c r="J14" s="39">
        <v>0.5</v>
      </c>
      <c r="K14" s="66">
        <f t="shared" si="0"/>
        <v>5203638</v>
      </c>
    </row>
    <row r="15" spans="1:11" ht="48.75" customHeight="1" x14ac:dyDescent="0.2">
      <c r="A15" s="179"/>
      <c r="B15" s="36" t="s">
        <v>18</v>
      </c>
      <c r="C15" s="35" t="s">
        <v>59</v>
      </c>
      <c r="D15" s="36">
        <f>+'[1]Servicios CLASE'!I51</f>
        <v>1</v>
      </c>
      <c r="E15" s="38">
        <f>+K135+K136</f>
        <v>3196012</v>
      </c>
      <c r="F15" s="37">
        <f>+E15*10/100+E15</f>
        <v>3515613</v>
      </c>
      <c r="G15" s="37">
        <f t="shared" si="1"/>
        <v>351561</v>
      </c>
      <c r="H15" s="37">
        <f t="shared" si="2"/>
        <v>66797</v>
      </c>
      <c r="I15" s="38">
        <f t="shared" si="3"/>
        <v>3582410</v>
      </c>
      <c r="J15" s="39">
        <v>0.5</v>
      </c>
      <c r="K15" s="66">
        <f t="shared" si="0"/>
        <v>1791205</v>
      </c>
    </row>
    <row r="16" spans="1:11" ht="48.75" customHeight="1" x14ac:dyDescent="0.2">
      <c r="A16" s="179"/>
      <c r="B16" s="36" t="s">
        <v>19</v>
      </c>
      <c r="C16" s="35" t="s">
        <v>60</v>
      </c>
      <c r="D16" s="36">
        <f>+'[1]Servicios CLASE'!J51</f>
        <v>1</v>
      </c>
      <c r="E16" s="38">
        <f>+K139+K140</f>
        <v>3633821</v>
      </c>
      <c r="F16" s="37">
        <f>+E16*8/100+E16</f>
        <v>3924527</v>
      </c>
      <c r="G16" s="37">
        <f t="shared" si="1"/>
        <v>392453</v>
      </c>
      <c r="H16" s="37">
        <f t="shared" si="2"/>
        <v>74566</v>
      </c>
      <c r="I16" s="38">
        <f t="shared" si="3"/>
        <v>3999093</v>
      </c>
      <c r="J16" s="39">
        <v>0.5</v>
      </c>
      <c r="K16" s="66">
        <f t="shared" si="0"/>
        <v>1999547</v>
      </c>
    </row>
    <row r="17" spans="1:11" ht="42" customHeight="1" x14ac:dyDescent="0.2">
      <c r="A17" s="179"/>
      <c r="B17" s="36"/>
      <c r="C17" s="40" t="s">
        <v>20</v>
      </c>
      <c r="D17" s="36">
        <f>SUM(D9:D16)</f>
        <v>46</v>
      </c>
      <c r="E17" s="67"/>
      <c r="F17" s="41"/>
      <c r="G17" s="41"/>
      <c r="H17" s="41"/>
      <c r="I17" s="38"/>
      <c r="J17" s="39"/>
      <c r="K17" s="66"/>
    </row>
    <row r="18" spans="1:11" ht="50.25" customHeight="1" x14ac:dyDescent="0.2">
      <c r="A18" s="179"/>
      <c r="B18" s="36" t="s">
        <v>46</v>
      </c>
      <c r="C18" s="43" t="s">
        <v>61</v>
      </c>
      <c r="D18" s="36">
        <f>+'[1]Servicios CLASE'!K51</f>
        <v>1</v>
      </c>
      <c r="E18" s="38">
        <f>+K131</f>
        <v>8800000</v>
      </c>
      <c r="F18" s="37">
        <f>+E18*0.08+E18</f>
        <v>9504000</v>
      </c>
      <c r="G18" s="37">
        <f>+F18*10%</f>
        <v>950400</v>
      </c>
      <c r="H18" s="37">
        <f>+G18*0.19</f>
        <v>180576</v>
      </c>
      <c r="I18" s="38">
        <f>F18+H18</f>
        <v>9684576</v>
      </c>
      <c r="J18" s="39">
        <v>0.5</v>
      </c>
      <c r="K18" s="66">
        <f t="shared" si="0"/>
        <v>4842288</v>
      </c>
    </row>
    <row r="19" spans="1:11" ht="56.25" customHeight="1" x14ac:dyDescent="0.2">
      <c r="A19" s="179"/>
      <c r="B19" s="36" t="s">
        <v>62</v>
      </c>
      <c r="C19" s="44" t="s">
        <v>63</v>
      </c>
      <c r="D19" s="36">
        <v>1</v>
      </c>
      <c r="E19" s="67">
        <v>4719441</v>
      </c>
      <c r="F19" s="38"/>
      <c r="G19" s="38">
        <f>+E19*10/100</f>
        <v>471944</v>
      </c>
      <c r="H19" s="38">
        <f>+G19*0.19</f>
        <v>89669</v>
      </c>
      <c r="I19" s="38">
        <f>+E19+H19</f>
        <v>4809110</v>
      </c>
      <c r="J19" s="39">
        <v>0.5</v>
      </c>
      <c r="K19" s="66">
        <f t="shared" si="0"/>
        <v>2404555</v>
      </c>
    </row>
    <row r="20" spans="1:11" s="34" customFormat="1" ht="38.25" customHeight="1" x14ac:dyDescent="0.2">
      <c r="A20" s="179"/>
      <c r="B20" s="182"/>
      <c r="C20" s="182"/>
      <c r="D20" s="182"/>
      <c r="E20" s="182" t="s">
        <v>77</v>
      </c>
      <c r="F20" s="182"/>
      <c r="G20" s="182"/>
      <c r="H20" s="182"/>
      <c r="I20" s="182"/>
      <c r="J20" s="182"/>
      <c r="K20" s="68">
        <f>SUM(K9:K19)</f>
        <v>161730598</v>
      </c>
    </row>
    <row r="22" spans="1:11" ht="73.5" customHeight="1" x14ac:dyDescent="0.2">
      <c r="A22" s="179">
        <v>2</v>
      </c>
      <c r="B22" s="180" t="s">
        <v>69</v>
      </c>
      <c r="C22" s="180"/>
      <c r="D22" s="180"/>
      <c r="E22" s="181" t="s">
        <v>67</v>
      </c>
      <c r="F22" s="181"/>
      <c r="G22" s="181"/>
      <c r="H22" s="181"/>
      <c r="I22" s="181"/>
      <c r="J22" s="181"/>
      <c r="K22" s="181"/>
    </row>
    <row r="23" spans="1:11" ht="97.5" customHeight="1" x14ac:dyDescent="0.2">
      <c r="A23" s="179"/>
      <c r="B23" s="63" t="s">
        <v>1</v>
      </c>
      <c r="C23" s="40" t="s">
        <v>2</v>
      </c>
      <c r="D23" s="63" t="s">
        <v>3</v>
      </c>
      <c r="E23" s="64" t="s">
        <v>65</v>
      </c>
      <c r="F23" s="64" t="s">
        <v>5</v>
      </c>
      <c r="G23" s="64" t="s">
        <v>6</v>
      </c>
      <c r="H23" s="64" t="s">
        <v>7</v>
      </c>
      <c r="I23" s="64" t="s">
        <v>8</v>
      </c>
      <c r="J23" s="64" t="s">
        <v>9</v>
      </c>
      <c r="K23" s="65" t="s">
        <v>10</v>
      </c>
    </row>
    <row r="24" spans="1:11" x14ac:dyDescent="0.2">
      <c r="A24" s="179"/>
      <c r="B24" s="36" t="s">
        <v>11</v>
      </c>
      <c r="C24" s="35" t="s">
        <v>53</v>
      </c>
      <c r="D24" s="70">
        <v>18</v>
      </c>
      <c r="E24" s="38">
        <f t="shared" ref="E24:E31" si="4">+E9</f>
        <v>8800000</v>
      </c>
      <c r="F24" s="37">
        <f>+E24*10/100+E24</f>
        <v>9680000</v>
      </c>
      <c r="G24" s="37">
        <f>+F24*10%</f>
        <v>968000</v>
      </c>
      <c r="H24" s="37">
        <f>+G24*0.19</f>
        <v>183920</v>
      </c>
      <c r="I24" s="38">
        <f>F24+H24</f>
        <v>9863920</v>
      </c>
      <c r="J24" s="39">
        <v>0.5</v>
      </c>
      <c r="K24" s="66">
        <f t="shared" ref="K24:K31" si="5">+D24*I24*J24</f>
        <v>88775280</v>
      </c>
    </row>
    <row r="25" spans="1:11" x14ac:dyDescent="0.2">
      <c r="A25" s="179"/>
      <c r="B25" s="36" t="s">
        <v>12</v>
      </c>
      <c r="C25" s="35" t="s">
        <v>54</v>
      </c>
      <c r="D25" s="71">
        <v>1</v>
      </c>
      <c r="E25" s="38">
        <f t="shared" si="4"/>
        <v>8800000</v>
      </c>
      <c r="F25" s="37">
        <f>+E25*8/100+E25</f>
        <v>9504000</v>
      </c>
      <c r="G25" s="37">
        <f t="shared" ref="G25:G31" si="6">+F25*10%</f>
        <v>950400</v>
      </c>
      <c r="H25" s="37">
        <f t="shared" ref="H25:H31" si="7">+G25*0.19</f>
        <v>180576</v>
      </c>
      <c r="I25" s="38">
        <f t="shared" ref="I25:I31" si="8">F25+H25</f>
        <v>9684576</v>
      </c>
      <c r="J25" s="39">
        <v>0.5</v>
      </c>
      <c r="K25" s="66">
        <f t="shared" si="5"/>
        <v>4842288</v>
      </c>
    </row>
    <row r="26" spans="1:11" ht="29.25" customHeight="1" x14ac:dyDescent="0.2">
      <c r="A26" s="179"/>
      <c r="B26" s="36" t="s">
        <v>13</v>
      </c>
      <c r="C26" s="35" t="s">
        <v>55</v>
      </c>
      <c r="D26" s="71">
        <v>10</v>
      </c>
      <c r="E26" s="38">
        <f t="shared" si="4"/>
        <v>3940288</v>
      </c>
      <c r="F26" s="37">
        <f>+E26*8/100+E26</f>
        <v>4255511</v>
      </c>
      <c r="G26" s="37">
        <f t="shared" si="6"/>
        <v>425551</v>
      </c>
      <c r="H26" s="37">
        <f t="shared" si="7"/>
        <v>80855</v>
      </c>
      <c r="I26" s="38">
        <f t="shared" si="8"/>
        <v>4336366</v>
      </c>
      <c r="J26" s="39">
        <v>0.5</v>
      </c>
      <c r="K26" s="66">
        <f t="shared" si="5"/>
        <v>21681830</v>
      </c>
    </row>
    <row r="27" spans="1:11" ht="29.25" customHeight="1" x14ac:dyDescent="0.2">
      <c r="A27" s="179"/>
      <c r="B27" s="36" t="s">
        <v>14</v>
      </c>
      <c r="C27" s="35" t="s">
        <v>56</v>
      </c>
      <c r="D27" s="71">
        <v>0</v>
      </c>
      <c r="E27" s="38">
        <f t="shared" si="4"/>
        <v>2626859</v>
      </c>
      <c r="F27" s="37">
        <f>+E27*8/100+E27</f>
        <v>2837008</v>
      </c>
      <c r="G27" s="37">
        <f t="shared" si="6"/>
        <v>283701</v>
      </c>
      <c r="H27" s="37">
        <f t="shared" si="7"/>
        <v>53903</v>
      </c>
      <c r="I27" s="38">
        <f t="shared" si="8"/>
        <v>2890911</v>
      </c>
      <c r="J27" s="39">
        <v>0.5</v>
      </c>
      <c r="K27" s="66">
        <f t="shared" si="5"/>
        <v>0</v>
      </c>
    </row>
    <row r="28" spans="1:11" x14ac:dyDescent="0.2">
      <c r="A28" s="179"/>
      <c r="B28" s="36" t="s">
        <v>15</v>
      </c>
      <c r="C28" s="35" t="s">
        <v>57</v>
      </c>
      <c r="D28" s="71">
        <v>2</v>
      </c>
      <c r="E28" s="38">
        <f t="shared" si="4"/>
        <v>8800000</v>
      </c>
      <c r="F28" s="37">
        <f>+E28*11/100+E28</f>
        <v>9768000</v>
      </c>
      <c r="G28" s="37">
        <f t="shared" si="6"/>
        <v>976800</v>
      </c>
      <c r="H28" s="37">
        <f t="shared" si="7"/>
        <v>185592</v>
      </c>
      <c r="I28" s="38">
        <f t="shared" si="8"/>
        <v>9953592</v>
      </c>
      <c r="J28" s="39">
        <v>0.5</v>
      </c>
      <c r="K28" s="66">
        <f t="shared" si="5"/>
        <v>9953592</v>
      </c>
    </row>
    <row r="29" spans="1:11" x14ac:dyDescent="0.2">
      <c r="A29" s="179"/>
      <c r="B29" s="36" t="s">
        <v>16</v>
      </c>
      <c r="C29" s="35" t="s">
        <v>58</v>
      </c>
      <c r="D29" s="36">
        <v>2</v>
      </c>
      <c r="E29" s="38">
        <f t="shared" si="4"/>
        <v>3152230</v>
      </c>
      <c r="F29" s="37">
        <f>+E29*8/100+E29</f>
        <v>3404408</v>
      </c>
      <c r="G29" s="37">
        <f t="shared" si="6"/>
        <v>340441</v>
      </c>
      <c r="H29" s="37">
        <f t="shared" si="7"/>
        <v>64684</v>
      </c>
      <c r="I29" s="38">
        <f t="shared" si="8"/>
        <v>3469092</v>
      </c>
      <c r="J29" s="39">
        <v>0.5</v>
      </c>
      <c r="K29" s="66">
        <f t="shared" si="5"/>
        <v>3469092</v>
      </c>
    </row>
    <row r="30" spans="1:11" ht="42" x14ac:dyDescent="0.2">
      <c r="A30" s="179"/>
      <c r="B30" s="36" t="s">
        <v>18</v>
      </c>
      <c r="C30" s="35" t="s">
        <v>59</v>
      </c>
      <c r="D30" s="36">
        <v>0</v>
      </c>
      <c r="E30" s="38">
        <f t="shared" si="4"/>
        <v>3196012</v>
      </c>
      <c r="F30" s="37">
        <f>+E30*10/100+E30</f>
        <v>3515613</v>
      </c>
      <c r="G30" s="37">
        <f t="shared" si="6"/>
        <v>351561</v>
      </c>
      <c r="H30" s="37">
        <f t="shared" si="7"/>
        <v>66797</v>
      </c>
      <c r="I30" s="38">
        <f t="shared" si="8"/>
        <v>3582410</v>
      </c>
      <c r="J30" s="39">
        <v>0.5</v>
      </c>
      <c r="K30" s="66">
        <f t="shared" si="5"/>
        <v>0</v>
      </c>
    </row>
    <row r="31" spans="1:11" ht="42" x14ac:dyDescent="0.2">
      <c r="A31" s="179"/>
      <c r="B31" s="36" t="s">
        <v>19</v>
      </c>
      <c r="C31" s="35" t="s">
        <v>60</v>
      </c>
      <c r="D31" s="36">
        <v>1</v>
      </c>
      <c r="E31" s="38">
        <f t="shared" si="4"/>
        <v>3633821</v>
      </c>
      <c r="F31" s="37">
        <f>+E31*8/100+E31</f>
        <v>3924527</v>
      </c>
      <c r="G31" s="37">
        <f t="shared" si="6"/>
        <v>392453</v>
      </c>
      <c r="H31" s="37">
        <f t="shared" si="7"/>
        <v>74566</v>
      </c>
      <c r="I31" s="38">
        <f t="shared" si="8"/>
        <v>3999093</v>
      </c>
      <c r="J31" s="39">
        <v>0.5</v>
      </c>
      <c r="K31" s="66">
        <f t="shared" si="5"/>
        <v>1999547</v>
      </c>
    </row>
    <row r="32" spans="1:11" ht="22" x14ac:dyDescent="0.2">
      <c r="A32" s="179"/>
      <c r="B32" s="36"/>
      <c r="C32" s="40" t="s">
        <v>20</v>
      </c>
      <c r="D32" s="36">
        <v>34</v>
      </c>
      <c r="E32" s="67"/>
      <c r="F32" s="41"/>
      <c r="G32" s="41"/>
      <c r="H32" s="41"/>
      <c r="I32" s="38"/>
      <c r="J32" s="39"/>
      <c r="K32" s="66"/>
    </row>
    <row r="33" spans="1:11" ht="36.75" customHeight="1" x14ac:dyDescent="0.2">
      <c r="A33" s="179"/>
      <c r="B33" s="36" t="s">
        <v>46</v>
      </c>
      <c r="C33" s="43" t="s">
        <v>61</v>
      </c>
      <c r="D33" s="36">
        <v>1</v>
      </c>
      <c r="E33" s="38">
        <f>+E18</f>
        <v>8800000</v>
      </c>
      <c r="F33" s="37">
        <f>+E33*0.08+E33</f>
        <v>9504000</v>
      </c>
      <c r="G33" s="37">
        <f>+F33*10%</f>
        <v>950400</v>
      </c>
      <c r="H33" s="37">
        <f>+G33*0.19</f>
        <v>180576</v>
      </c>
      <c r="I33" s="38">
        <f>F33+H33</f>
        <v>9684576</v>
      </c>
      <c r="J33" s="39">
        <v>0.5</v>
      </c>
      <c r="K33" s="66">
        <f>+D33*I33*J33</f>
        <v>4842288</v>
      </c>
    </row>
    <row r="34" spans="1:11" ht="69.75" customHeight="1" x14ac:dyDescent="0.2">
      <c r="A34" s="179"/>
      <c r="B34" s="36" t="s">
        <v>62</v>
      </c>
      <c r="C34" s="44" t="s">
        <v>63</v>
      </c>
      <c r="D34" s="36">
        <v>1</v>
      </c>
      <c r="E34" s="67">
        <f>+E19</f>
        <v>4719441</v>
      </c>
      <c r="F34" s="38"/>
      <c r="G34" s="38">
        <f>+E34*10/100</f>
        <v>471944</v>
      </c>
      <c r="H34" s="38">
        <f>+G34*0.19</f>
        <v>89669</v>
      </c>
      <c r="I34" s="38">
        <f>+E34+H34</f>
        <v>4809110</v>
      </c>
      <c r="J34" s="39">
        <v>0.5</v>
      </c>
      <c r="K34" s="66">
        <f>+J34*I34</f>
        <v>2404555</v>
      </c>
    </row>
    <row r="35" spans="1:11" s="34" customFormat="1" ht="48.75" customHeight="1" x14ac:dyDescent="0.2">
      <c r="A35" s="179"/>
      <c r="B35" s="69"/>
      <c r="C35" s="69"/>
      <c r="D35" s="69"/>
      <c r="E35" s="186" t="s">
        <v>70</v>
      </c>
      <c r="F35" s="186"/>
      <c r="G35" s="186"/>
      <c r="H35" s="186"/>
      <c r="I35" s="186"/>
      <c r="J35" s="186"/>
      <c r="K35" s="68">
        <f>SUM(K24:K34)</f>
        <v>137968472</v>
      </c>
    </row>
    <row r="36" spans="1:11" x14ac:dyDescent="0.2">
      <c r="E36" s="48"/>
      <c r="F36" s="48"/>
      <c r="G36" s="49"/>
    </row>
    <row r="37" spans="1:11" x14ac:dyDescent="0.2">
      <c r="E37" s="48"/>
      <c r="F37" s="48"/>
      <c r="G37" s="49"/>
    </row>
    <row r="38" spans="1:11" ht="73.5" customHeight="1" x14ac:dyDescent="0.2">
      <c r="A38" s="179">
        <v>3</v>
      </c>
      <c r="B38" s="180" t="s">
        <v>72</v>
      </c>
      <c r="C38" s="180"/>
      <c r="D38" s="180"/>
      <c r="E38" s="187" t="s">
        <v>71</v>
      </c>
      <c r="F38" s="188"/>
      <c r="G38" s="188"/>
      <c r="H38" s="188"/>
      <c r="I38" s="188"/>
      <c r="J38" s="188"/>
      <c r="K38" s="188"/>
    </row>
    <row r="39" spans="1:11" ht="44" x14ac:dyDescent="0.2">
      <c r="A39" s="179"/>
      <c r="B39" s="63" t="s">
        <v>1</v>
      </c>
      <c r="C39" s="40" t="s">
        <v>2</v>
      </c>
      <c r="D39" s="63" t="s">
        <v>3</v>
      </c>
      <c r="E39" s="64" t="s">
        <v>4</v>
      </c>
      <c r="F39" s="64" t="s">
        <v>5</v>
      </c>
      <c r="G39" s="64" t="s">
        <v>6</v>
      </c>
      <c r="H39" s="64" t="s">
        <v>7</v>
      </c>
      <c r="I39" s="64" t="s">
        <v>8</v>
      </c>
      <c r="J39" s="64" t="s">
        <v>9</v>
      </c>
      <c r="K39" s="65" t="s">
        <v>10</v>
      </c>
    </row>
    <row r="40" spans="1:11" x14ac:dyDescent="0.2">
      <c r="A40" s="179"/>
      <c r="B40" s="36" t="s">
        <v>11</v>
      </c>
      <c r="C40" s="35" t="s">
        <v>53</v>
      </c>
      <c r="D40" s="36">
        <v>18</v>
      </c>
      <c r="E40" s="38">
        <f>+E24</f>
        <v>8800000</v>
      </c>
      <c r="F40" s="37">
        <f>+E40*10/100+E40</f>
        <v>9680000</v>
      </c>
      <c r="G40" s="37">
        <f>+F40*10%</f>
        <v>968000</v>
      </c>
      <c r="H40" s="37">
        <f>+G40*0.19</f>
        <v>183920</v>
      </c>
      <c r="I40" s="38">
        <f>F40+H40</f>
        <v>9863920</v>
      </c>
      <c r="J40" s="39">
        <v>10</v>
      </c>
      <c r="K40" s="66">
        <f t="shared" ref="K40:K47" si="9">+D40*I40*J40</f>
        <v>1775505600</v>
      </c>
    </row>
    <row r="41" spans="1:11" x14ac:dyDescent="0.2">
      <c r="A41" s="179"/>
      <c r="B41" s="36" t="s">
        <v>12</v>
      </c>
      <c r="C41" s="35" t="s">
        <v>54</v>
      </c>
      <c r="D41" s="36">
        <v>1</v>
      </c>
      <c r="E41" s="38">
        <f t="shared" ref="E41:E50" si="10">+E25</f>
        <v>8800000</v>
      </c>
      <c r="F41" s="37">
        <f>+E41*8/100+E41</f>
        <v>9504000</v>
      </c>
      <c r="G41" s="37">
        <f t="shared" ref="G41:G47" si="11">+F41*10%</f>
        <v>950400</v>
      </c>
      <c r="H41" s="37">
        <f t="shared" ref="H41:H47" si="12">+G41*0.19</f>
        <v>180576</v>
      </c>
      <c r="I41" s="38">
        <f t="shared" ref="I41:I47" si="13">F41+H41</f>
        <v>9684576</v>
      </c>
      <c r="J41" s="39">
        <v>10</v>
      </c>
      <c r="K41" s="66">
        <f t="shared" si="9"/>
        <v>96845760</v>
      </c>
    </row>
    <row r="42" spans="1:11" ht="22.5" customHeight="1" x14ac:dyDescent="0.2">
      <c r="A42" s="179"/>
      <c r="B42" s="36" t="s">
        <v>13</v>
      </c>
      <c r="C42" s="35" t="s">
        <v>55</v>
      </c>
      <c r="D42" s="36">
        <v>18</v>
      </c>
      <c r="E42" s="38">
        <f t="shared" si="10"/>
        <v>3940288</v>
      </c>
      <c r="F42" s="37">
        <f>+E42*8/100+E42</f>
        <v>4255511</v>
      </c>
      <c r="G42" s="37">
        <f t="shared" si="11"/>
        <v>425551</v>
      </c>
      <c r="H42" s="37">
        <f t="shared" si="12"/>
        <v>80855</v>
      </c>
      <c r="I42" s="38">
        <f t="shared" si="13"/>
        <v>4336366</v>
      </c>
      <c r="J42" s="39">
        <v>10</v>
      </c>
      <c r="K42" s="66">
        <f t="shared" si="9"/>
        <v>780545880</v>
      </c>
    </row>
    <row r="43" spans="1:11" ht="32.25" customHeight="1" x14ac:dyDescent="0.2">
      <c r="A43" s="179"/>
      <c r="B43" s="36" t="s">
        <v>14</v>
      </c>
      <c r="C43" s="35" t="s">
        <v>56</v>
      </c>
      <c r="D43" s="36">
        <v>2</v>
      </c>
      <c r="E43" s="38">
        <f t="shared" si="10"/>
        <v>2626859</v>
      </c>
      <c r="F43" s="37">
        <f>+E43*8/100+E43</f>
        <v>2837008</v>
      </c>
      <c r="G43" s="37">
        <f t="shared" si="11"/>
        <v>283701</v>
      </c>
      <c r="H43" s="37">
        <f t="shared" si="12"/>
        <v>53903</v>
      </c>
      <c r="I43" s="38">
        <f t="shared" si="13"/>
        <v>2890911</v>
      </c>
      <c r="J43" s="39">
        <v>10</v>
      </c>
      <c r="K43" s="66">
        <f t="shared" si="9"/>
        <v>57818220</v>
      </c>
    </row>
    <row r="44" spans="1:11" x14ac:dyDescent="0.2">
      <c r="A44" s="179"/>
      <c r="B44" s="36" t="s">
        <v>15</v>
      </c>
      <c r="C44" s="35" t="s">
        <v>57</v>
      </c>
      <c r="D44" s="36">
        <v>2</v>
      </c>
      <c r="E44" s="38">
        <f t="shared" si="10"/>
        <v>8800000</v>
      </c>
      <c r="F44" s="37">
        <f>+E44*11/100+E44</f>
        <v>9768000</v>
      </c>
      <c r="G44" s="37">
        <f t="shared" si="11"/>
        <v>976800</v>
      </c>
      <c r="H44" s="37">
        <f t="shared" si="12"/>
        <v>185592</v>
      </c>
      <c r="I44" s="38">
        <f t="shared" si="13"/>
        <v>9953592</v>
      </c>
      <c r="J44" s="39">
        <v>10</v>
      </c>
      <c r="K44" s="66">
        <f t="shared" si="9"/>
        <v>199071840</v>
      </c>
    </row>
    <row r="45" spans="1:11" ht="29.25" customHeight="1" x14ac:dyDescent="0.2">
      <c r="A45" s="179"/>
      <c r="B45" s="36" t="s">
        <v>16</v>
      </c>
      <c r="C45" s="35" t="s">
        <v>58</v>
      </c>
      <c r="D45" s="36">
        <v>3</v>
      </c>
      <c r="E45" s="38">
        <f t="shared" si="10"/>
        <v>3152230</v>
      </c>
      <c r="F45" s="37">
        <f>+E45*8/100+E45</f>
        <v>3404408</v>
      </c>
      <c r="G45" s="37">
        <f t="shared" si="11"/>
        <v>340441</v>
      </c>
      <c r="H45" s="37">
        <f t="shared" si="12"/>
        <v>64684</v>
      </c>
      <c r="I45" s="38">
        <f t="shared" si="13"/>
        <v>3469092</v>
      </c>
      <c r="J45" s="39">
        <v>10</v>
      </c>
      <c r="K45" s="66">
        <f t="shared" si="9"/>
        <v>104072760</v>
      </c>
    </row>
    <row r="46" spans="1:11" ht="42" x14ac:dyDescent="0.2">
      <c r="A46" s="179"/>
      <c r="B46" s="36" t="s">
        <v>18</v>
      </c>
      <c r="C46" s="35" t="s">
        <v>59</v>
      </c>
      <c r="D46" s="36">
        <v>1</v>
      </c>
      <c r="E46" s="38">
        <f t="shared" si="10"/>
        <v>3196012</v>
      </c>
      <c r="F46" s="37">
        <f>+E46*10/100+E46</f>
        <v>3515613</v>
      </c>
      <c r="G46" s="37">
        <f t="shared" si="11"/>
        <v>351561</v>
      </c>
      <c r="H46" s="37">
        <f t="shared" si="12"/>
        <v>66797</v>
      </c>
      <c r="I46" s="38">
        <f t="shared" si="13"/>
        <v>3582410</v>
      </c>
      <c r="J46" s="39">
        <v>10</v>
      </c>
      <c r="K46" s="66">
        <f t="shared" si="9"/>
        <v>35824100</v>
      </c>
    </row>
    <row r="47" spans="1:11" ht="42" x14ac:dyDescent="0.2">
      <c r="A47" s="179"/>
      <c r="B47" s="36" t="s">
        <v>19</v>
      </c>
      <c r="C47" s="35" t="s">
        <v>60</v>
      </c>
      <c r="D47" s="36">
        <v>1</v>
      </c>
      <c r="E47" s="38">
        <f t="shared" si="10"/>
        <v>3633821</v>
      </c>
      <c r="F47" s="37">
        <f>+E47*8/100+E47</f>
        <v>3924527</v>
      </c>
      <c r="G47" s="37">
        <f t="shared" si="11"/>
        <v>392453</v>
      </c>
      <c r="H47" s="37">
        <f t="shared" si="12"/>
        <v>74566</v>
      </c>
      <c r="I47" s="38">
        <f t="shared" si="13"/>
        <v>3999093</v>
      </c>
      <c r="J47" s="39">
        <v>10</v>
      </c>
      <c r="K47" s="66">
        <f t="shared" si="9"/>
        <v>39990930</v>
      </c>
    </row>
    <row r="48" spans="1:11" ht="39" customHeight="1" x14ac:dyDescent="0.2">
      <c r="A48" s="179"/>
      <c r="B48" s="36"/>
      <c r="C48" s="40" t="s">
        <v>20</v>
      </c>
      <c r="D48" s="36">
        <v>46</v>
      </c>
      <c r="E48" s="38"/>
      <c r="F48" s="41"/>
      <c r="G48" s="41"/>
      <c r="H48" s="41"/>
      <c r="I48" s="38"/>
      <c r="J48" s="42"/>
      <c r="K48" s="66"/>
    </row>
    <row r="49" spans="1:11" ht="35.25" customHeight="1" x14ac:dyDescent="0.2">
      <c r="A49" s="179"/>
      <c r="B49" s="36" t="s">
        <v>46</v>
      </c>
      <c r="C49" s="43" t="s">
        <v>61</v>
      </c>
      <c r="D49" s="36">
        <v>1</v>
      </c>
      <c r="E49" s="38">
        <f t="shared" si="10"/>
        <v>8800000</v>
      </c>
      <c r="F49" s="37">
        <f>+E49*0.08+E49</f>
        <v>9504000</v>
      </c>
      <c r="G49" s="37">
        <f>+F49*10%</f>
        <v>950400</v>
      </c>
      <c r="H49" s="37">
        <f>+G49*0.19</f>
        <v>180576</v>
      </c>
      <c r="I49" s="38">
        <f>F49+H49</f>
        <v>9684576</v>
      </c>
      <c r="J49" s="39">
        <v>10</v>
      </c>
      <c r="K49" s="66">
        <f>+I49*J49</f>
        <v>96845760</v>
      </c>
    </row>
    <row r="50" spans="1:11" ht="50.25" customHeight="1" x14ac:dyDescent="0.2">
      <c r="A50" s="179"/>
      <c r="B50" s="36" t="s">
        <v>62</v>
      </c>
      <c r="C50" s="44" t="s">
        <v>63</v>
      </c>
      <c r="D50" s="36">
        <v>1</v>
      </c>
      <c r="E50" s="38">
        <f t="shared" si="10"/>
        <v>4719441</v>
      </c>
      <c r="F50" s="38"/>
      <c r="G50" s="38">
        <f>+E50*10/100</f>
        <v>471944</v>
      </c>
      <c r="H50" s="38">
        <f>+G50*0.19</f>
        <v>89669</v>
      </c>
      <c r="I50" s="38">
        <f>+E50+H50</f>
        <v>4809110</v>
      </c>
      <c r="J50" s="39">
        <v>10</v>
      </c>
      <c r="K50" s="66">
        <f>+I50*J50</f>
        <v>48091100</v>
      </c>
    </row>
    <row r="51" spans="1:11" s="50" customFormat="1" ht="38.25" customHeight="1" x14ac:dyDescent="0.2">
      <c r="A51" s="179"/>
      <c r="B51" s="69"/>
      <c r="C51" s="69"/>
      <c r="D51" s="69"/>
      <c r="E51" s="182" t="s">
        <v>77</v>
      </c>
      <c r="F51" s="182"/>
      <c r="G51" s="182"/>
      <c r="H51" s="182"/>
      <c r="I51" s="182"/>
      <c r="J51" s="182"/>
      <c r="K51" s="72">
        <f>SUM(K40:K50)</f>
        <v>3234611950</v>
      </c>
    </row>
    <row r="52" spans="1:11" s="50" customFormat="1" ht="38.25" customHeight="1" x14ac:dyDescent="0.2">
      <c r="A52" s="179"/>
      <c r="B52" s="69"/>
      <c r="C52" s="69"/>
      <c r="D52" s="69"/>
      <c r="E52" s="183" t="s">
        <v>78</v>
      </c>
      <c r="F52" s="184"/>
      <c r="G52" s="184"/>
      <c r="H52" s="184"/>
      <c r="I52" s="184"/>
      <c r="J52" s="185"/>
      <c r="K52" s="72">
        <f>+K51*10%</f>
        <v>323461195</v>
      </c>
    </row>
    <row r="53" spans="1:11" s="50" customFormat="1" ht="38.25" customHeight="1" x14ac:dyDescent="0.2">
      <c r="A53" s="179"/>
      <c r="B53" s="69"/>
      <c r="C53" s="69"/>
      <c r="D53" s="69"/>
      <c r="E53" s="186"/>
      <c r="F53" s="186"/>
      <c r="G53" s="186"/>
      <c r="H53" s="186"/>
      <c r="I53" s="186"/>
      <c r="J53" s="186"/>
      <c r="K53" s="72">
        <f>+K51+K52</f>
        <v>3558073145</v>
      </c>
    </row>
    <row r="54" spans="1:11" x14ac:dyDescent="0.2">
      <c r="G54" s="33"/>
    </row>
    <row r="55" spans="1:11" ht="94.5" customHeight="1" x14ac:dyDescent="0.2">
      <c r="A55" s="179">
        <v>4</v>
      </c>
      <c r="B55" s="180" t="s">
        <v>73</v>
      </c>
      <c r="C55" s="180"/>
      <c r="D55" s="180"/>
      <c r="E55" s="187" t="s">
        <v>74</v>
      </c>
      <c r="F55" s="188"/>
      <c r="G55" s="188"/>
      <c r="H55" s="188"/>
      <c r="I55" s="188"/>
      <c r="J55" s="188"/>
      <c r="K55" s="188"/>
    </row>
    <row r="56" spans="1:11" ht="76.5" customHeight="1" x14ac:dyDescent="0.2">
      <c r="A56" s="179"/>
      <c r="B56" s="63" t="s">
        <v>1</v>
      </c>
      <c r="C56" s="40" t="s">
        <v>2</v>
      </c>
      <c r="D56" s="63" t="s">
        <v>3</v>
      </c>
      <c r="E56" s="64" t="s">
        <v>4</v>
      </c>
      <c r="F56" s="64" t="s">
        <v>5</v>
      </c>
      <c r="G56" s="64" t="s">
        <v>6</v>
      </c>
      <c r="H56" s="64" t="s">
        <v>7</v>
      </c>
      <c r="I56" s="64" t="s">
        <v>8</v>
      </c>
      <c r="J56" s="64" t="s">
        <v>9</v>
      </c>
      <c r="K56" s="65" t="s">
        <v>10</v>
      </c>
    </row>
    <row r="57" spans="1:11" x14ac:dyDescent="0.2">
      <c r="A57" s="179"/>
      <c r="B57" s="36" t="s">
        <v>11</v>
      </c>
      <c r="C57" s="35" t="s">
        <v>53</v>
      </c>
      <c r="D57" s="36">
        <v>18</v>
      </c>
      <c r="E57" s="38">
        <f t="shared" ref="E57:E64" si="14">+E40</f>
        <v>8800000</v>
      </c>
      <c r="F57" s="37">
        <f>+E57*10/100+E57</f>
        <v>9680000</v>
      </c>
      <c r="G57" s="37">
        <f>+F57*10%</f>
        <v>968000</v>
      </c>
      <c r="H57" s="37">
        <f>+G57*0.19</f>
        <v>183920</v>
      </c>
      <c r="I57" s="38">
        <f>F57+H57</f>
        <v>9863920</v>
      </c>
      <c r="J57" s="39">
        <v>2</v>
      </c>
      <c r="K57" s="66">
        <f t="shared" ref="K57:K64" si="15">+D57*I57*J57</f>
        <v>355101120</v>
      </c>
    </row>
    <row r="58" spans="1:11" x14ac:dyDescent="0.2">
      <c r="A58" s="179"/>
      <c r="B58" s="36" t="s">
        <v>12</v>
      </c>
      <c r="C58" s="35" t="s">
        <v>54</v>
      </c>
      <c r="D58" s="36">
        <v>1</v>
      </c>
      <c r="E58" s="38">
        <f t="shared" si="14"/>
        <v>8800000</v>
      </c>
      <c r="F58" s="37">
        <f>+E58*8/100+E58</f>
        <v>9504000</v>
      </c>
      <c r="G58" s="37">
        <f t="shared" ref="G58:G64" si="16">+F58*10%</f>
        <v>950400</v>
      </c>
      <c r="H58" s="37">
        <f t="shared" ref="H58:H64" si="17">+G58*0.19</f>
        <v>180576</v>
      </c>
      <c r="I58" s="38">
        <f t="shared" ref="I58:I64" si="18">F58+H58</f>
        <v>9684576</v>
      </c>
      <c r="J58" s="39">
        <v>2</v>
      </c>
      <c r="K58" s="66">
        <f t="shared" si="15"/>
        <v>19369152</v>
      </c>
    </row>
    <row r="59" spans="1:11" x14ac:dyDescent="0.2">
      <c r="A59" s="179"/>
      <c r="B59" s="36" t="s">
        <v>13</v>
      </c>
      <c r="C59" s="35" t="s">
        <v>55</v>
      </c>
      <c r="D59" s="36">
        <v>10</v>
      </c>
      <c r="E59" s="38">
        <f t="shared" si="14"/>
        <v>3940288</v>
      </c>
      <c r="F59" s="37">
        <f>+E59*8/100+E59</f>
        <v>4255511</v>
      </c>
      <c r="G59" s="37">
        <f t="shared" si="16"/>
        <v>425551</v>
      </c>
      <c r="H59" s="37">
        <f t="shared" si="17"/>
        <v>80855</v>
      </c>
      <c r="I59" s="38">
        <f t="shared" si="18"/>
        <v>4336366</v>
      </c>
      <c r="J59" s="39">
        <v>2</v>
      </c>
      <c r="K59" s="66">
        <f t="shared" si="15"/>
        <v>86727320</v>
      </c>
    </row>
    <row r="60" spans="1:11" x14ac:dyDescent="0.2">
      <c r="A60" s="179"/>
      <c r="B60" s="36" t="s">
        <v>14</v>
      </c>
      <c r="C60" s="35" t="s">
        <v>56</v>
      </c>
      <c r="D60" s="36">
        <v>0</v>
      </c>
      <c r="E60" s="38">
        <f t="shared" si="14"/>
        <v>2626859</v>
      </c>
      <c r="F60" s="37">
        <f>+E60*8/100+E60</f>
        <v>2837008</v>
      </c>
      <c r="G60" s="37">
        <f t="shared" si="16"/>
        <v>283701</v>
      </c>
      <c r="H60" s="37">
        <f t="shared" si="17"/>
        <v>53903</v>
      </c>
      <c r="I60" s="38">
        <f t="shared" si="18"/>
        <v>2890911</v>
      </c>
      <c r="J60" s="39">
        <v>2</v>
      </c>
      <c r="K60" s="66">
        <f t="shared" si="15"/>
        <v>0</v>
      </c>
    </row>
    <row r="61" spans="1:11" x14ac:dyDescent="0.2">
      <c r="A61" s="179"/>
      <c r="B61" s="36" t="s">
        <v>15</v>
      </c>
      <c r="C61" s="35" t="s">
        <v>57</v>
      </c>
      <c r="D61" s="36">
        <v>2</v>
      </c>
      <c r="E61" s="38">
        <f t="shared" si="14"/>
        <v>8800000</v>
      </c>
      <c r="F61" s="37">
        <f>+E61*11/100+E61</f>
        <v>9768000</v>
      </c>
      <c r="G61" s="37">
        <f t="shared" si="16"/>
        <v>976800</v>
      </c>
      <c r="H61" s="37">
        <f t="shared" si="17"/>
        <v>185592</v>
      </c>
      <c r="I61" s="38">
        <f t="shared" si="18"/>
        <v>9953592</v>
      </c>
      <c r="J61" s="39">
        <v>2</v>
      </c>
      <c r="K61" s="66">
        <f t="shared" si="15"/>
        <v>39814368</v>
      </c>
    </row>
    <row r="62" spans="1:11" x14ac:dyDescent="0.2">
      <c r="A62" s="179"/>
      <c r="B62" s="36" t="s">
        <v>16</v>
      </c>
      <c r="C62" s="35" t="s">
        <v>58</v>
      </c>
      <c r="D62" s="36">
        <v>2</v>
      </c>
      <c r="E62" s="38">
        <f t="shared" si="14"/>
        <v>3152230</v>
      </c>
      <c r="F62" s="37">
        <f>+E62*8/100+E62</f>
        <v>3404408</v>
      </c>
      <c r="G62" s="37">
        <f t="shared" si="16"/>
        <v>340441</v>
      </c>
      <c r="H62" s="37">
        <f t="shared" si="17"/>
        <v>64684</v>
      </c>
      <c r="I62" s="38">
        <f t="shared" si="18"/>
        <v>3469092</v>
      </c>
      <c r="J62" s="39">
        <v>2</v>
      </c>
      <c r="K62" s="66">
        <f t="shared" si="15"/>
        <v>13876368</v>
      </c>
    </row>
    <row r="63" spans="1:11" ht="42" x14ac:dyDescent="0.2">
      <c r="A63" s="179"/>
      <c r="B63" s="36" t="s">
        <v>18</v>
      </c>
      <c r="C63" s="35" t="s">
        <v>59</v>
      </c>
      <c r="D63" s="36">
        <v>0</v>
      </c>
      <c r="E63" s="38">
        <f t="shared" si="14"/>
        <v>3196012</v>
      </c>
      <c r="F63" s="37">
        <f>+E63*10/100+E63</f>
        <v>3515613</v>
      </c>
      <c r="G63" s="37">
        <f t="shared" si="16"/>
        <v>351561</v>
      </c>
      <c r="H63" s="37">
        <f t="shared" si="17"/>
        <v>66797</v>
      </c>
      <c r="I63" s="38">
        <f t="shared" si="18"/>
        <v>3582410</v>
      </c>
      <c r="J63" s="39">
        <v>2</v>
      </c>
      <c r="K63" s="66">
        <f t="shared" si="15"/>
        <v>0</v>
      </c>
    </row>
    <row r="64" spans="1:11" ht="42" x14ac:dyDescent="0.2">
      <c r="A64" s="179"/>
      <c r="B64" s="36" t="s">
        <v>19</v>
      </c>
      <c r="C64" s="35" t="s">
        <v>60</v>
      </c>
      <c r="D64" s="36">
        <v>1</v>
      </c>
      <c r="E64" s="38">
        <f t="shared" si="14"/>
        <v>3633821</v>
      </c>
      <c r="F64" s="37">
        <f>+E64*8/100+E64</f>
        <v>3924527</v>
      </c>
      <c r="G64" s="37">
        <f t="shared" si="16"/>
        <v>392453</v>
      </c>
      <c r="H64" s="37">
        <f t="shared" si="17"/>
        <v>74566</v>
      </c>
      <c r="I64" s="38">
        <f t="shared" si="18"/>
        <v>3999093</v>
      </c>
      <c r="J64" s="39">
        <v>2</v>
      </c>
      <c r="K64" s="66">
        <f t="shared" si="15"/>
        <v>7998186</v>
      </c>
    </row>
    <row r="65" spans="1:11" ht="30" customHeight="1" x14ac:dyDescent="0.2">
      <c r="A65" s="179"/>
      <c r="B65" s="36"/>
      <c r="C65" s="40" t="s">
        <v>20</v>
      </c>
      <c r="D65" s="36">
        <v>34</v>
      </c>
      <c r="E65" s="67"/>
      <c r="F65" s="41"/>
      <c r="G65" s="41"/>
      <c r="H65" s="41"/>
      <c r="I65" s="38"/>
      <c r="J65" s="42"/>
      <c r="K65" s="66"/>
    </row>
    <row r="66" spans="1:11" ht="38.25" customHeight="1" x14ac:dyDescent="0.2">
      <c r="A66" s="179"/>
      <c r="B66" s="36" t="s">
        <v>46</v>
      </c>
      <c r="C66" s="43" t="s">
        <v>61</v>
      </c>
      <c r="D66" s="36">
        <v>1</v>
      </c>
      <c r="E66" s="38">
        <f>+E49</f>
        <v>8800000</v>
      </c>
      <c r="F66" s="37">
        <f>+E66*0.08+E66</f>
        <v>9504000</v>
      </c>
      <c r="G66" s="37">
        <f>+F66*10%</f>
        <v>950400</v>
      </c>
      <c r="H66" s="37">
        <f>+G66*0.19</f>
        <v>180576</v>
      </c>
      <c r="I66" s="38">
        <f>F66+H66</f>
        <v>9684576</v>
      </c>
      <c r="J66" s="39">
        <v>2</v>
      </c>
      <c r="K66" s="66">
        <f>+I66*J66</f>
        <v>19369152</v>
      </c>
    </row>
    <row r="67" spans="1:11" ht="78.75" customHeight="1" x14ac:dyDescent="0.2">
      <c r="A67" s="179"/>
      <c r="B67" s="36" t="s">
        <v>62</v>
      </c>
      <c r="C67" s="44" t="s">
        <v>63</v>
      </c>
      <c r="D67" s="36">
        <v>1</v>
      </c>
      <c r="E67" s="67">
        <f>+E50</f>
        <v>4719441</v>
      </c>
      <c r="F67" s="38"/>
      <c r="G67" s="38">
        <f>+E67*10/100</f>
        <v>471944</v>
      </c>
      <c r="H67" s="38">
        <f>+G67*0.19</f>
        <v>89669</v>
      </c>
      <c r="I67" s="38">
        <f>+E67+H67</f>
        <v>4809110</v>
      </c>
      <c r="J67" s="39">
        <v>2</v>
      </c>
      <c r="K67" s="66">
        <f>+I67*J67</f>
        <v>9618220</v>
      </c>
    </row>
    <row r="68" spans="1:11" s="50" customFormat="1" ht="38.25" customHeight="1" x14ac:dyDescent="0.2">
      <c r="A68" s="179"/>
      <c r="B68" s="69"/>
      <c r="C68" s="69"/>
      <c r="D68" s="69"/>
      <c r="E68" s="182" t="s">
        <v>77</v>
      </c>
      <c r="F68" s="182"/>
      <c r="G68" s="182"/>
      <c r="H68" s="182"/>
      <c r="I68" s="182"/>
      <c r="J68" s="182"/>
      <c r="K68" s="72">
        <f>SUM(K57:K67)</f>
        <v>551873886</v>
      </c>
    </row>
    <row r="69" spans="1:11" s="50" customFormat="1" ht="38.25" customHeight="1" x14ac:dyDescent="0.2">
      <c r="A69" s="179"/>
      <c r="B69" s="69"/>
      <c r="C69" s="69"/>
      <c r="D69" s="69"/>
      <c r="E69" s="186" t="s">
        <v>79</v>
      </c>
      <c r="F69" s="186"/>
      <c r="G69" s="186"/>
      <c r="H69" s="186"/>
      <c r="I69" s="186"/>
      <c r="J69" s="186"/>
      <c r="K69" s="72">
        <f>+K68*10%</f>
        <v>55187389</v>
      </c>
    </row>
    <row r="70" spans="1:11" s="50" customFormat="1" ht="38.25" customHeight="1" x14ac:dyDescent="0.2">
      <c r="A70" s="179"/>
      <c r="B70" s="69"/>
      <c r="C70" s="69"/>
      <c r="D70" s="69"/>
      <c r="E70" s="186"/>
      <c r="F70" s="186"/>
      <c r="G70" s="186"/>
      <c r="H70" s="186"/>
      <c r="I70" s="186"/>
      <c r="J70" s="186"/>
      <c r="K70" s="72">
        <f>+K68+K69</f>
        <v>607061275</v>
      </c>
    </row>
    <row r="71" spans="1:11" x14ac:dyDescent="0.2">
      <c r="E71" s="48"/>
      <c r="F71" s="48"/>
      <c r="G71" s="49"/>
    </row>
    <row r="72" spans="1:11" x14ac:dyDescent="0.2">
      <c r="B72" s="178"/>
      <c r="C72" s="178"/>
      <c r="D72" s="178"/>
      <c r="E72" s="48"/>
      <c r="F72" s="48"/>
      <c r="G72" s="49"/>
    </row>
    <row r="73" spans="1:11" ht="60" customHeight="1" x14ac:dyDescent="0.2">
      <c r="A73" s="179">
        <v>3</v>
      </c>
      <c r="B73" s="180" t="s">
        <v>75</v>
      </c>
      <c r="C73" s="180"/>
      <c r="D73" s="180"/>
      <c r="E73" s="189" t="s">
        <v>80</v>
      </c>
      <c r="F73" s="190"/>
      <c r="G73" s="190"/>
      <c r="H73" s="190"/>
      <c r="I73" s="190"/>
      <c r="J73" s="190"/>
      <c r="K73" s="190"/>
    </row>
    <row r="74" spans="1:11" ht="129.75" customHeight="1" x14ac:dyDescent="0.2">
      <c r="A74" s="179"/>
      <c r="B74" s="63" t="s">
        <v>1</v>
      </c>
      <c r="C74" s="40" t="s">
        <v>2</v>
      </c>
      <c r="D74" s="63" t="s">
        <v>3</v>
      </c>
      <c r="E74" s="64" t="s">
        <v>4</v>
      </c>
      <c r="F74" s="64" t="s">
        <v>5</v>
      </c>
      <c r="G74" s="64" t="s">
        <v>6</v>
      </c>
      <c r="H74" s="64" t="s">
        <v>7</v>
      </c>
      <c r="I74" s="64" t="s">
        <v>8</v>
      </c>
      <c r="J74" s="64" t="s">
        <v>9</v>
      </c>
      <c r="K74" s="65" t="s">
        <v>10</v>
      </c>
    </row>
    <row r="75" spans="1:11" x14ac:dyDescent="0.2">
      <c r="A75" s="179"/>
      <c r="B75" s="36" t="s">
        <v>11</v>
      </c>
      <c r="C75" s="35" t="s">
        <v>53</v>
      </c>
      <c r="D75" s="36">
        <v>18</v>
      </c>
      <c r="E75" s="38">
        <f>+E57*1.1</f>
        <v>9680000</v>
      </c>
      <c r="F75" s="37">
        <f>+E75*10/100+E75</f>
        <v>10648000</v>
      </c>
      <c r="G75" s="37">
        <f>+F75*10%</f>
        <v>1064800</v>
      </c>
      <c r="H75" s="37">
        <f>+G75*0.19</f>
        <v>202312</v>
      </c>
      <c r="I75" s="38">
        <f>F75+H75</f>
        <v>10850312</v>
      </c>
      <c r="J75" s="39">
        <v>10</v>
      </c>
      <c r="K75" s="66">
        <f t="shared" ref="K75:K82" si="19">+D75*I75*J75</f>
        <v>1953056160</v>
      </c>
    </row>
    <row r="76" spans="1:11" x14ac:dyDescent="0.2">
      <c r="A76" s="179"/>
      <c r="B76" s="36" t="s">
        <v>12</v>
      </c>
      <c r="C76" s="35" t="s">
        <v>54</v>
      </c>
      <c r="D76" s="36">
        <v>1</v>
      </c>
      <c r="E76" s="38">
        <f t="shared" ref="E76:E85" si="20">+E58*1.1</f>
        <v>9680000</v>
      </c>
      <c r="F76" s="37">
        <f>+E76*8/100+E76</f>
        <v>10454400</v>
      </c>
      <c r="G76" s="37">
        <f t="shared" ref="G76:G82" si="21">+F76*10%</f>
        <v>1045440</v>
      </c>
      <c r="H76" s="37">
        <f t="shared" ref="H76:H82" si="22">+G76*0.19</f>
        <v>198634</v>
      </c>
      <c r="I76" s="38">
        <f t="shared" ref="I76:I82" si="23">F76+H76</f>
        <v>10653034</v>
      </c>
      <c r="J76" s="39">
        <v>10</v>
      </c>
      <c r="K76" s="66">
        <f t="shared" si="19"/>
        <v>106530340</v>
      </c>
    </row>
    <row r="77" spans="1:11" ht="29.25" customHeight="1" x14ac:dyDescent="0.2">
      <c r="A77" s="179"/>
      <c r="B77" s="36" t="s">
        <v>13</v>
      </c>
      <c r="C77" s="35" t="s">
        <v>55</v>
      </c>
      <c r="D77" s="36">
        <v>18</v>
      </c>
      <c r="E77" s="38">
        <f t="shared" si="20"/>
        <v>4334317</v>
      </c>
      <c r="F77" s="37">
        <f>+E77*8/100+E77</f>
        <v>4681062</v>
      </c>
      <c r="G77" s="37">
        <f t="shared" si="21"/>
        <v>468106</v>
      </c>
      <c r="H77" s="37">
        <f t="shared" si="22"/>
        <v>88940</v>
      </c>
      <c r="I77" s="38">
        <f t="shared" si="23"/>
        <v>4770002</v>
      </c>
      <c r="J77" s="39">
        <v>10</v>
      </c>
      <c r="K77" s="66">
        <f t="shared" si="19"/>
        <v>858600360</v>
      </c>
    </row>
    <row r="78" spans="1:11" ht="28.5" customHeight="1" x14ac:dyDescent="0.2">
      <c r="A78" s="179"/>
      <c r="B78" s="36" t="s">
        <v>14</v>
      </c>
      <c r="C78" s="35" t="s">
        <v>56</v>
      </c>
      <c r="D78" s="36">
        <v>2</v>
      </c>
      <c r="E78" s="38">
        <f t="shared" si="20"/>
        <v>2889545</v>
      </c>
      <c r="F78" s="37">
        <f>+E78*8/100+E78</f>
        <v>3120709</v>
      </c>
      <c r="G78" s="37">
        <f t="shared" si="21"/>
        <v>312071</v>
      </c>
      <c r="H78" s="37">
        <f t="shared" si="22"/>
        <v>59293</v>
      </c>
      <c r="I78" s="38">
        <f t="shared" si="23"/>
        <v>3180002</v>
      </c>
      <c r="J78" s="39">
        <v>10</v>
      </c>
      <c r="K78" s="66">
        <f t="shared" si="19"/>
        <v>63600040</v>
      </c>
    </row>
    <row r="79" spans="1:11" x14ac:dyDescent="0.2">
      <c r="A79" s="179"/>
      <c r="B79" s="36" t="s">
        <v>15</v>
      </c>
      <c r="C79" s="35" t="s">
        <v>57</v>
      </c>
      <c r="D79" s="36">
        <v>2</v>
      </c>
      <c r="E79" s="38">
        <f t="shared" si="20"/>
        <v>9680000</v>
      </c>
      <c r="F79" s="37">
        <f>+E79*11/100+E79</f>
        <v>10744800</v>
      </c>
      <c r="G79" s="37">
        <f t="shared" si="21"/>
        <v>1074480</v>
      </c>
      <c r="H79" s="37">
        <f t="shared" si="22"/>
        <v>204151</v>
      </c>
      <c r="I79" s="38">
        <f t="shared" si="23"/>
        <v>10948951</v>
      </c>
      <c r="J79" s="39">
        <v>10</v>
      </c>
      <c r="K79" s="66">
        <f t="shared" si="19"/>
        <v>218979020</v>
      </c>
    </row>
    <row r="80" spans="1:11" x14ac:dyDescent="0.2">
      <c r="A80" s="179"/>
      <c r="B80" s="36" t="s">
        <v>16</v>
      </c>
      <c r="C80" s="35" t="s">
        <v>58</v>
      </c>
      <c r="D80" s="36">
        <v>3</v>
      </c>
      <c r="E80" s="38">
        <f t="shared" si="20"/>
        <v>3467453</v>
      </c>
      <c r="F80" s="37">
        <f>+E80*8/100+E80</f>
        <v>3744849</v>
      </c>
      <c r="G80" s="37">
        <f t="shared" si="21"/>
        <v>374485</v>
      </c>
      <c r="H80" s="37">
        <f t="shared" si="22"/>
        <v>71152</v>
      </c>
      <c r="I80" s="38">
        <f t="shared" si="23"/>
        <v>3816001</v>
      </c>
      <c r="J80" s="39">
        <v>10</v>
      </c>
      <c r="K80" s="66">
        <f t="shared" si="19"/>
        <v>114480030</v>
      </c>
    </row>
    <row r="81" spans="1:11" ht="42" x14ac:dyDescent="0.2">
      <c r="A81" s="179"/>
      <c r="B81" s="36" t="s">
        <v>18</v>
      </c>
      <c r="C81" s="35" t="s">
        <v>59</v>
      </c>
      <c r="D81" s="36">
        <v>1</v>
      </c>
      <c r="E81" s="38">
        <f t="shared" si="20"/>
        <v>3515613</v>
      </c>
      <c r="F81" s="37">
        <f>+E81*10/100+E81</f>
        <v>3867174</v>
      </c>
      <c r="G81" s="37">
        <f t="shared" si="21"/>
        <v>386717</v>
      </c>
      <c r="H81" s="37">
        <f t="shared" si="22"/>
        <v>73476</v>
      </c>
      <c r="I81" s="38">
        <f t="shared" si="23"/>
        <v>3940650</v>
      </c>
      <c r="J81" s="39">
        <v>10</v>
      </c>
      <c r="K81" s="66">
        <f t="shared" si="19"/>
        <v>39406500</v>
      </c>
    </row>
    <row r="82" spans="1:11" ht="42" x14ac:dyDescent="0.2">
      <c r="A82" s="179"/>
      <c r="B82" s="36" t="s">
        <v>19</v>
      </c>
      <c r="C82" s="35" t="s">
        <v>60</v>
      </c>
      <c r="D82" s="36">
        <v>1</v>
      </c>
      <c r="E82" s="38">
        <f t="shared" si="20"/>
        <v>3997203</v>
      </c>
      <c r="F82" s="37">
        <f>+E82*8/100+E82</f>
        <v>4316979</v>
      </c>
      <c r="G82" s="37">
        <f t="shared" si="21"/>
        <v>431698</v>
      </c>
      <c r="H82" s="37">
        <f t="shared" si="22"/>
        <v>82023</v>
      </c>
      <c r="I82" s="38">
        <f t="shared" si="23"/>
        <v>4399002</v>
      </c>
      <c r="J82" s="39">
        <v>10</v>
      </c>
      <c r="K82" s="66">
        <f t="shared" si="19"/>
        <v>43990020</v>
      </c>
    </row>
    <row r="83" spans="1:11" ht="22" x14ac:dyDescent="0.2">
      <c r="A83" s="179"/>
      <c r="B83" s="36"/>
      <c r="C83" s="40" t="s">
        <v>20</v>
      </c>
      <c r="D83" s="36">
        <v>46</v>
      </c>
      <c r="E83" s="38">
        <f t="shared" si="20"/>
        <v>0</v>
      </c>
      <c r="F83" s="41"/>
      <c r="G83" s="41"/>
      <c r="H83" s="41"/>
      <c r="I83" s="38"/>
      <c r="J83" s="39">
        <v>10</v>
      </c>
      <c r="K83" s="66"/>
    </row>
    <row r="84" spans="1:11" ht="28.5" customHeight="1" x14ac:dyDescent="0.2">
      <c r="A84" s="179"/>
      <c r="B84" s="36" t="s">
        <v>46</v>
      </c>
      <c r="C84" s="43" t="s">
        <v>61</v>
      </c>
      <c r="D84" s="36">
        <v>1</v>
      </c>
      <c r="E84" s="38">
        <f t="shared" si="20"/>
        <v>9680000</v>
      </c>
      <c r="F84" s="37">
        <f>+E84*0.08+E84</f>
        <v>10454400</v>
      </c>
      <c r="G84" s="37">
        <f>+F84*10%</f>
        <v>1045440</v>
      </c>
      <c r="H84" s="37">
        <f>+G84*0.19</f>
        <v>198634</v>
      </c>
      <c r="I84" s="38">
        <f>F84+H84</f>
        <v>10653034</v>
      </c>
      <c r="J84" s="39">
        <v>10</v>
      </c>
      <c r="K84" s="66">
        <f>+I84*J84</f>
        <v>106530340</v>
      </c>
    </row>
    <row r="85" spans="1:11" ht="51.75" customHeight="1" x14ac:dyDescent="0.2">
      <c r="A85" s="179"/>
      <c r="B85" s="36" t="s">
        <v>62</v>
      </c>
      <c r="C85" s="44" t="s">
        <v>63</v>
      </c>
      <c r="D85" s="36">
        <v>1</v>
      </c>
      <c r="E85" s="38">
        <f t="shared" si="20"/>
        <v>5191385</v>
      </c>
      <c r="F85" s="38"/>
      <c r="G85" s="38">
        <f>+E85*10/100</f>
        <v>519139</v>
      </c>
      <c r="H85" s="38">
        <f>+G85*0.19</f>
        <v>98636</v>
      </c>
      <c r="I85" s="38">
        <f>+E85+H85</f>
        <v>5290021</v>
      </c>
      <c r="J85" s="39">
        <v>10</v>
      </c>
      <c r="K85" s="66">
        <f>+I85*J85</f>
        <v>52900210</v>
      </c>
    </row>
    <row r="86" spans="1:11" s="50" customFormat="1" ht="38.25" customHeight="1" x14ac:dyDescent="0.2">
      <c r="A86" s="179"/>
      <c r="B86" s="69"/>
      <c r="C86" s="69"/>
      <c r="D86" s="69"/>
      <c r="E86" s="182" t="s">
        <v>77</v>
      </c>
      <c r="F86" s="182"/>
      <c r="G86" s="182"/>
      <c r="H86" s="182"/>
      <c r="I86" s="182"/>
      <c r="J86" s="182"/>
      <c r="K86" s="73">
        <f>SUM(K75:K85)</f>
        <v>3558073020</v>
      </c>
    </row>
    <row r="87" spans="1:11" s="50" customFormat="1" ht="38.25" customHeight="1" x14ac:dyDescent="0.2">
      <c r="A87" s="179"/>
      <c r="B87" s="69"/>
      <c r="C87" s="69"/>
      <c r="D87" s="69"/>
      <c r="E87" s="191" t="s">
        <v>82</v>
      </c>
      <c r="F87" s="191"/>
      <c r="G87" s="191"/>
      <c r="H87" s="191"/>
      <c r="I87" s="191"/>
      <c r="J87" s="191"/>
      <c r="K87" s="73">
        <f>+K86*10%</f>
        <v>355807302</v>
      </c>
    </row>
    <row r="88" spans="1:11" s="50" customFormat="1" ht="38.25" customHeight="1" x14ac:dyDescent="0.2">
      <c r="A88" s="179"/>
      <c r="B88" s="69"/>
      <c r="C88" s="69"/>
      <c r="D88" s="69"/>
      <c r="E88" s="186"/>
      <c r="F88" s="186"/>
      <c r="G88" s="186"/>
      <c r="H88" s="186"/>
      <c r="I88" s="186"/>
      <c r="J88" s="186"/>
      <c r="K88" s="73">
        <f>+K86+K87</f>
        <v>3913880322</v>
      </c>
    </row>
    <row r="89" spans="1:11" x14ac:dyDescent="0.2">
      <c r="E89" s="48"/>
      <c r="F89" s="48"/>
      <c r="G89" s="49"/>
    </row>
    <row r="90" spans="1:11" ht="63.75" customHeight="1" x14ac:dyDescent="0.2">
      <c r="A90" s="179">
        <v>4</v>
      </c>
      <c r="B90" s="180" t="s">
        <v>76</v>
      </c>
      <c r="C90" s="180"/>
      <c r="D90" s="180"/>
      <c r="E90" s="189" t="s">
        <v>81</v>
      </c>
      <c r="F90" s="190"/>
      <c r="G90" s="190"/>
      <c r="H90" s="190"/>
      <c r="I90" s="190"/>
      <c r="J90" s="190"/>
      <c r="K90" s="190"/>
    </row>
    <row r="91" spans="1:11" ht="128.25" customHeight="1" x14ac:dyDescent="0.2">
      <c r="A91" s="179"/>
      <c r="B91" s="63" t="s">
        <v>1</v>
      </c>
      <c r="C91" s="40" t="s">
        <v>2</v>
      </c>
      <c r="D91" s="63" t="s">
        <v>3</v>
      </c>
      <c r="E91" s="64" t="s">
        <v>4</v>
      </c>
      <c r="F91" s="64" t="s">
        <v>5</v>
      </c>
      <c r="G91" s="64" t="s">
        <v>6</v>
      </c>
      <c r="H91" s="64" t="s">
        <v>7</v>
      </c>
      <c r="I91" s="64" t="s">
        <v>8</v>
      </c>
      <c r="J91" s="64" t="s">
        <v>9</v>
      </c>
      <c r="K91" s="65" t="s">
        <v>10</v>
      </c>
    </row>
    <row r="92" spans="1:11" ht="38.25" customHeight="1" x14ac:dyDescent="0.2">
      <c r="A92" s="179"/>
      <c r="B92" s="36" t="s">
        <v>11</v>
      </c>
      <c r="C92" s="35" t="s">
        <v>53</v>
      </c>
      <c r="D92" s="36">
        <v>18</v>
      </c>
      <c r="E92" s="38">
        <f>+E75</f>
        <v>9680000</v>
      </c>
      <c r="F92" s="37">
        <f>+E92*10/100+E92</f>
        <v>10648000</v>
      </c>
      <c r="G92" s="37">
        <f>+F92*10%</f>
        <v>1064800</v>
      </c>
      <c r="H92" s="37">
        <f>+G92*0.19</f>
        <v>202312</v>
      </c>
      <c r="I92" s="38">
        <f>F92+H92</f>
        <v>10850312</v>
      </c>
      <c r="J92" s="39">
        <v>2</v>
      </c>
      <c r="K92" s="66">
        <f t="shared" ref="K92:K102" si="24">+D92*I92*J92</f>
        <v>390611232</v>
      </c>
    </row>
    <row r="93" spans="1:11" ht="46.5" customHeight="1" x14ac:dyDescent="0.2">
      <c r="A93" s="179"/>
      <c r="B93" s="36" t="s">
        <v>12</v>
      </c>
      <c r="C93" s="35" t="s">
        <v>54</v>
      </c>
      <c r="D93" s="36">
        <v>1</v>
      </c>
      <c r="E93" s="38">
        <f t="shared" ref="E93:E102" si="25">+E76</f>
        <v>9680000</v>
      </c>
      <c r="F93" s="37">
        <f>+E93*8/100+E93</f>
        <v>10454400</v>
      </c>
      <c r="G93" s="37">
        <f t="shared" ref="G93:G99" si="26">+F93*10%</f>
        <v>1045440</v>
      </c>
      <c r="H93" s="37">
        <f t="shared" ref="H93:H99" si="27">+G93*0.19</f>
        <v>198634</v>
      </c>
      <c r="I93" s="38">
        <f t="shared" ref="I93:I99" si="28">F93+H93</f>
        <v>10653034</v>
      </c>
      <c r="J93" s="39">
        <v>2</v>
      </c>
      <c r="K93" s="66">
        <f t="shared" si="24"/>
        <v>21306068</v>
      </c>
    </row>
    <row r="94" spans="1:11" x14ac:dyDescent="0.2">
      <c r="A94" s="179"/>
      <c r="B94" s="36" t="s">
        <v>13</v>
      </c>
      <c r="C94" s="35" t="s">
        <v>55</v>
      </c>
      <c r="D94" s="36">
        <v>10</v>
      </c>
      <c r="E94" s="38">
        <f t="shared" si="25"/>
        <v>4334317</v>
      </c>
      <c r="F94" s="37">
        <f>+E94*8/100+E94</f>
        <v>4681062</v>
      </c>
      <c r="G94" s="37">
        <f t="shared" si="26"/>
        <v>468106</v>
      </c>
      <c r="H94" s="37">
        <f t="shared" si="27"/>
        <v>88940</v>
      </c>
      <c r="I94" s="38">
        <f t="shared" si="28"/>
        <v>4770002</v>
      </c>
      <c r="J94" s="39">
        <v>2</v>
      </c>
      <c r="K94" s="66">
        <f t="shared" si="24"/>
        <v>95400040</v>
      </c>
    </row>
    <row r="95" spans="1:11" x14ac:dyDescent="0.2">
      <c r="A95" s="179"/>
      <c r="B95" s="36" t="s">
        <v>14</v>
      </c>
      <c r="C95" s="35" t="s">
        <v>56</v>
      </c>
      <c r="D95" s="36">
        <v>0</v>
      </c>
      <c r="E95" s="38">
        <f t="shared" si="25"/>
        <v>2889545</v>
      </c>
      <c r="F95" s="37">
        <f>+E95*8/100+E95</f>
        <v>3120709</v>
      </c>
      <c r="G95" s="37">
        <f t="shared" si="26"/>
        <v>312071</v>
      </c>
      <c r="H95" s="37">
        <f t="shared" si="27"/>
        <v>59293</v>
      </c>
      <c r="I95" s="38">
        <f t="shared" si="28"/>
        <v>3180002</v>
      </c>
      <c r="J95" s="39">
        <v>2</v>
      </c>
      <c r="K95" s="66">
        <f t="shared" si="24"/>
        <v>0</v>
      </c>
    </row>
    <row r="96" spans="1:11" x14ac:dyDescent="0.2">
      <c r="A96" s="179"/>
      <c r="B96" s="36" t="s">
        <v>15</v>
      </c>
      <c r="C96" s="35" t="s">
        <v>57</v>
      </c>
      <c r="D96" s="36">
        <v>2</v>
      </c>
      <c r="E96" s="38">
        <f t="shared" si="25"/>
        <v>9680000</v>
      </c>
      <c r="F96" s="37">
        <f>+E96*11/100+E96</f>
        <v>10744800</v>
      </c>
      <c r="G96" s="37">
        <f t="shared" si="26"/>
        <v>1074480</v>
      </c>
      <c r="H96" s="37">
        <f t="shared" si="27"/>
        <v>204151</v>
      </c>
      <c r="I96" s="38">
        <f t="shared" si="28"/>
        <v>10948951</v>
      </c>
      <c r="J96" s="39">
        <v>2</v>
      </c>
      <c r="K96" s="66">
        <f t="shared" si="24"/>
        <v>43795804</v>
      </c>
    </row>
    <row r="97" spans="1:13" x14ac:dyDescent="0.2">
      <c r="A97" s="179"/>
      <c r="B97" s="36" t="s">
        <v>16</v>
      </c>
      <c r="C97" s="35" t="s">
        <v>58</v>
      </c>
      <c r="D97" s="36">
        <v>2</v>
      </c>
      <c r="E97" s="38">
        <f t="shared" si="25"/>
        <v>3467453</v>
      </c>
      <c r="F97" s="37">
        <f>+E97*8/100+E97</f>
        <v>3744849</v>
      </c>
      <c r="G97" s="37">
        <f t="shared" si="26"/>
        <v>374485</v>
      </c>
      <c r="H97" s="37">
        <f t="shared" si="27"/>
        <v>71152</v>
      </c>
      <c r="I97" s="38">
        <f t="shared" si="28"/>
        <v>3816001</v>
      </c>
      <c r="J97" s="39">
        <v>2</v>
      </c>
      <c r="K97" s="66">
        <f t="shared" si="24"/>
        <v>15264004</v>
      </c>
    </row>
    <row r="98" spans="1:13" ht="42" x14ac:dyDescent="0.2">
      <c r="A98" s="179"/>
      <c r="B98" s="36" t="s">
        <v>18</v>
      </c>
      <c r="C98" s="35" t="s">
        <v>59</v>
      </c>
      <c r="D98" s="36">
        <v>0</v>
      </c>
      <c r="E98" s="38">
        <f t="shared" si="25"/>
        <v>3515613</v>
      </c>
      <c r="F98" s="37">
        <f>+E98*10/100+E98</f>
        <v>3867174</v>
      </c>
      <c r="G98" s="37">
        <f t="shared" si="26"/>
        <v>386717</v>
      </c>
      <c r="H98" s="37">
        <f t="shared" si="27"/>
        <v>73476</v>
      </c>
      <c r="I98" s="38">
        <f t="shared" si="28"/>
        <v>3940650</v>
      </c>
      <c r="J98" s="39">
        <v>2</v>
      </c>
      <c r="K98" s="66">
        <f t="shared" si="24"/>
        <v>0</v>
      </c>
    </row>
    <row r="99" spans="1:13" ht="42" x14ac:dyDescent="0.2">
      <c r="A99" s="179"/>
      <c r="B99" s="36" t="s">
        <v>19</v>
      </c>
      <c r="C99" s="35" t="s">
        <v>60</v>
      </c>
      <c r="D99" s="36">
        <v>1</v>
      </c>
      <c r="E99" s="38">
        <f t="shared" si="25"/>
        <v>3997203</v>
      </c>
      <c r="F99" s="37">
        <f>+E99*8/100+E99</f>
        <v>4316979</v>
      </c>
      <c r="G99" s="37">
        <f t="shared" si="26"/>
        <v>431698</v>
      </c>
      <c r="H99" s="37">
        <f t="shared" si="27"/>
        <v>82023</v>
      </c>
      <c r="I99" s="38">
        <f t="shared" si="28"/>
        <v>4399002</v>
      </c>
      <c r="J99" s="39">
        <v>2</v>
      </c>
      <c r="K99" s="66">
        <f t="shared" si="24"/>
        <v>8798004</v>
      </c>
    </row>
    <row r="100" spans="1:13" ht="22" x14ac:dyDescent="0.2">
      <c r="A100" s="179"/>
      <c r="B100" s="36"/>
      <c r="C100" s="40" t="s">
        <v>20</v>
      </c>
      <c r="D100" s="36">
        <v>34</v>
      </c>
      <c r="E100" s="38">
        <f t="shared" si="25"/>
        <v>0</v>
      </c>
      <c r="F100" s="41"/>
      <c r="G100" s="41"/>
      <c r="H100" s="41"/>
      <c r="I100" s="38"/>
      <c r="J100" s="42"/>
      <c r="K100" s="66">
        <f t="shared" si="24"/>
        <v>0</v>
      </c>
    </row>
    <row r="101" spans="1:13" ht="33.75" customHeight="1" x14ac:dyDescent="0.2">
      <c r="A101" s="179"/>
      <c r="B101" s="36" t="s">
        <v>46</v>
      </c>
      <c r="C101" s="43" t="s">
        <v>61</v>
      </c>
      <c r="D101" s="36">
        <v>1</v>
      </c>
      <c r="E101" s="38">
        <f t="shared" si="25"/>
        <v>9680000</v>
      </c>
      <c r="F101" s="37">
        <f>+E101*0.08+E101</f>
        <v>10454400</v>
      </c>
      <c r="G101" s="37">
        <f>+F101*10%</f>
        <v>1045440</v>
      </c>
      <c r="H101" s="37">
        <f>+G101*0.19</f>
        <v>198634</v>
      </c>
      <c r="I101" s="38">
        <f>F101+H101</f>
        <v>10653034</v>
      </c>
      <c r="J101" s="39">
        <v>2</v>
      </c>
      <c r="K101" s="66">
        <f t="shared" si="24"/>
        <v>21306068</v>
      </c>
    </row>
    <row r="102" spans="1:13" ht="68.25" customHeight="1" x14ac:dyDescent="0.2">
      <c r="A102" s="179"/>
      <c r="B102" s="36" t="s">
        <v>62</v>
      </c>
      <c r="C102" s="44" t="s">
        <v>63</v>
      </c>
      <c r="D102" s="36">
        <v>1</v>
      </c>
      <c r="E102" s="38">
        <f t="shared" si="25"/>
        <v>5191385</v>
      </c>
      <c r="F102" s="38"/>
      <c r="G102" s="38">
        <f>+E102*10/100</f>
        <v>519139</v>
      </c>
      <c r="H102" s="38">
        <f>+G102*0.19</f>
        <v>98636</v>
      </c>
      <c r="I102" s="38">
        <f>+E102+H102</f>
        <v>5290021</v>
      </c>
      <c r="J102" s="39">
        <v>2</v>
      </c>
      <c r="K102" s="66">
        <f t="shared" si="24"/>
        <v>10580042</v>
      </c>
    </row>
    <row r="103" spans="1:13" s="50" customFormat="1" ht="38.25" customHeight="1" x14ac:dyDescent="0.2">
      <c r="A103" s="179"/>
      <c r="B103" s="69"/>
      <c r="C103" s="69"/>
      <c r="D103" s="69"/>
      <c r="E103" s="182" t="s">
        <v>77</v>
      </c>
      <c r="F103" s="182"/>
      <c r="G103" s="182"/>
      <c r="H103" s="182"/>
      <c r="I103" s="182"/>
      <c r="J103" s="182"/>
      <c r="K103" s="73">
        <f>SUM(K92:K102)</f>
        <v>607061262</v>
      </c>
    </row>
    <row r="104" spans="1:13" s="50" customFormat="1" ht="38.25" customHeight="1" x14ac:dyDescent="0.2">
      <c r="A104" s="179"/>
      <c r="B104" s="69"/>
      <c r="C104" s="69"/>
      <c r="D104" s="69"/>
      <c r="E104" s="191" t="s">
        <v>79</v>
      </c>
      <c r="F104" s="191"/>
      <c r="G104" s="191"/>
      <c r="H104" s="191"/>
      <c r="I104" s="191"/>
      <c r="J104" s="191"/>
      <c r="K104" s="73">
        <f>+K103*10%</f>
        <v>60706126</v>
      </c>
    </row>
    <row r="105" spans="1:13" s="50" customFormat="1" ht="38.25" customHeight="1" x14ac:dyDescent="0.2">
      <c r="A105" s="179"/>
      <c r="B105" s="69"/>
      <c r="C105" s="69"/>
      <c r="D105" s="69"/>
      <c r="E105" s="186"/>
      <c r="F105" s="186"/>
      <c r="G105" s="186"/>
      <c r="H105" s="186"/>
      <c r="I105" s="186"/>
      <c r="J105" s="186"/>
      <c r="K105" s="73">
        <f>+K103+K104</f>
        <v>667767388</v>
      </c>
    </row>
    <row r="106" spans="1:13" ht="53.25" customHeight="1" x14ac:dyDescent="0.2">
      <c r="B106" s="33"/>
      <c r="C106" s="33"/>
      <c r="D106" s="33"/>
      <c r="E106" s="48"/>
      <c r="F106" s="48"/>
      <c r="G106" s="49"/>
    </row>
    <row r="107" spans="1:13" ht="40.5" customHeight="1" x14ac:dyDescent="0.2">
      <c r="B107" s="33"/>
      <c r="C107" s="33"/>
      <c r="D107" s="33"/>
      <c r="E107" s="48"/>
      <c r="F107" s="196">
        <v>7</v>
      </c>
      <c r="G107" s="186" t="s">
        <v>64</v>
      </c>
      <c r="H107" s="182" t="s">
        <v>21</v>
      </c>
      <c r="I107" s="182"/>
      <c r="J107" s="74" t="s">
        <v>22</v>
      </c>
      <c r="K107" s="67"/>
    </row>
    <row r="108" spans="1:13" ht="41.25" customHeight="1" x14ac:dyDescent="0.2">
      <c r="B108" s="33"/>
      <c r="C108" s="33"/>
      <c r="D108" s="33"/>
      <c r="E108" s="48"/>
      <c r="F108" s="196"/>
      <c r="G108" s="186"/>
      <c r="H108" s="182">
        <v>2022</v>
      </c>
      <c r="I108" s="182"/>
      <c r="J108" s="75">
        <f>+K20+K35</f>
        <v>299699070</v>
      </c>
      <c r="K108" s="68">
        <v>299699070</v>
      </c>
      <c r="M108" s="33">
        <f>+J108-K108</f>
        <v>0</v>
      </c>
    </row>
    <row r="109" spans="1:13" ht="50.25" customHeight="1" x14ac:dyDescent="0.2">
      <c r="B109" s="33"/>
      <c r="C109" s="33"/>
      <c r="D109" s="33"/>
      <c r="E109" s="48"/>
      <c r="F109" s="196"/>
      <c r="G109" s="186"/>
      <c r="H109" s="182">
        <v>2023</v>
      </c>
      <c r="I109" s="182"/>
      <c r="J109" s="75">
        <f>+K53+K70</f>
        <v>4165134420</v>
      </c>
      <c r="K109" s="72">
        <v>4165134282</v>
      </c>
      <c r="M109" s="33">
        <f>+J109-K109</f>
        <v>138</v>
      </c>
    </row>
    <row r="110" spans="1:13" ht="46.5" customHeight="1" x14ac:dyDescent="0.2">
      <c r="B110" s="33"/>
      <c r="C110" s="33"/>
      <c r="D110" s="33"/>
      <c r="E110" s="48"/>
      <c r="F110" s="196"/>
      <c r="G110" s="186"/>
      <c r="H110" s="182">
        <v>2024</v>
      </c>
      <c r="I110" s="182"/>
      <c r="J110" s="75">
        <f>+K88+K105</f>
        <v>4581647710</v>
      </c>
      <c r="K110" s="73">
        <v>4581647836</v>
      </c>
      <c r="M110" s="33">
        <f>+J110-K110</f>
        <v>-126</v>
      </c>
    </row>
    <row r="111" spans="1:13" ht="37.5" customHeight="1" x14ac:dyDescent="0.2">
      <c r="B111" s="33"/>
      <c r="C111" s="33"/>
      <c r="D111" s="33"/>
      <c r="E111" s="48"/>
      <c r="F111" s="36"/>
      <c r="G111" s="76"/>
      <c r="H111" s="63" t="s">
        <v>22</v>
      </c>
      <c r="I111" s="63"/>
      <c r="J111" s="75">
        <f>SUM(J108:J110)</f>
        <v>9046481200</v>
      </c>
      <c r="K111" s="75">
        <v>9046481188</v>
      </c>
    </row>
    <row r="113" spans="2:16" x14ac:dyDescent="0.2">
      <c r="B113" s="1"/>
      <c r="C113" s="3" t="s">
        <v>23</v>
      </c>
      <c r="D113" s="4"/>
      <c r="E113" s="4"/>
      <c r="F113" s="1"/>
      <c r="G113" s="1"/>
      <c r="H113" s="1"/>
      <c r="I113" s="1"/>
      <c r="J113" s="5"/>
      <c r="K113" s="5"/>
      <c r="L113" s="1"/>
      <c r="M113" s="1"/>
      <c r="N113" s="6"/>
      <c r="O113" s="2"/>
      <c r="P113" s="1"/>
    </row>
    <row r="114" spans="2:16" x14ac:dyDescent="0.2">
      <c r="B114" s="1"/>
      <c r="C114" s="194" t="s">
        <v>24</v>
      </c>
      <c r="D114" s="194"/>
      <c r="E114" s="194"/>
      <c r="F114" s="1"/>
      <c r="G114" s="1"/>
      <c r="H114" s="1"/>
      <c r="I114" s="1"/>
      <c r="J114" s="5"/>
      <c r="K114" s="5"/>
      <c r="L114" s="1"/>
      <c r="M114" s="1"/>
      <c r="N114" s="6"/>
      <c r="O114" s="2"/>
      <c r="P114" s="1"/>
    </row>
    <row r="115" spans="2:16" x14ac:dyDescent="0.2">
      <c r="B115" s="1"/>
      <c r="C115" s="194" t="s">
        <v>25</v>
      </c>
      <c r="D115" s="194"/>
      <c r="E115" s="194"/>
      <c r="F115" s="1"/>
      <c r="G115" s="1"/>
      <c r="H115" s="1"/>
      <c r="I115" s="1"/>
      <c r="J115" s="5"/>
      <c r="K115" s="5"/>
      <c r="L115" s="1"/>
      <c r="M115" s="1"/>
      <c r="N115" s="6"/>
      <c r="O115" s="2"/>
      <c r="P115" s="1"/>
    </row>
    <row r="116" spans="2:16" x14ac:dyDescent="0.2">
      <c r="B116" s="1"/>
      <c r="C116" s="194" t="s">
        <v>26</v>
      </c>
      <c r="D116" s="194"/>
      <c r="E116" s="194"/>
      <c r="F116" s="1"/>
      <c r="G116" s="1"/>
      <c r="H116" s="1"/>
      <c r="I116" s="1"/>
      <c r="J116" s="5"/>
      <c r="K116" s="7"/>
      <c r="L116" s="1"/>
      <c r="M116" s="1"/>
      <c r="N116" s="6"/>
      <c r="O116" s="2"/>
      <c r="P116" s="1"/>
    </row>
    <row r="117" spans="2:16" x14ac:dyDescent="0.2">
      <c r="B117" s="1"/>
      <c r="C117" s="62"/>
      <c r="D117" s="8"/>
      <c r="E117" s="8"/>
      <c r="F117" s="1"/>
      <c r="G117" s="1"/>
      <c r="H117" s="1"/>
      <c r="I117" s="1"/>
      <c r="J117" s="5"/>
      <c r="K117" s="5"/>
      <c r="L117" s="1"/>
      <c r="M117" s="1"/>
      <c r="N117" s="6"/>
      <c r="O117" s="2"/>
      <c r="P117" s="1"/>
    </row>
    <row r="118" spans="2:16" x14ac:dyDescent="0.2">
      <c r="B118" s="1"/>
      <c r="C118" s="9" t="s">
        <v>27</v>
      </c>
      <c r="D118" s="9"/>
      <c r="E118" s="9">
        <v>1000000</v>
      </c>
      <c r="F118" s="1"/>
      <c r="G118" s="1"/>
      <c r="H118" s="1"/>
      <c r="I118" s="1"/>
      <c r="J118" s="5"/>
      <c r="K118" s="5"/>
      <c r="L118" s="1"/>
      <c r="M118" s="1"/>
      <c r="N118" s="6"/>
      <c r="O118" s="2"/>
      <c r="P118" s="1"/>
    </row>
    <row r="119" spans="2:16" x14ac:dyDescent="0.2">
      <c r="B119" s="1"/>
      <c r="C119" s="9" t="s">
        <v>28</v>
      </c>
      <c r="D119" s="9"/>
      <c r="E119" s="10">
        <v>8.8000000000000007</v>
      </c>
      <c r="F119" s="1"/>
      <c r="G119" s="1">
        <f>+E118*E119</f>
        <v>8800000</v>
      </c>
      <c r="H119" s="1"/>
      <c r="I119" s="1"/>
      <c r="J119" s="5"/>
      <c r="K119" s="11"/>
      <c r="L119" s="1"/>
      <c r="M119" s="1"/>
      <c r="N119" s="6"/>
      <c r="O119" s="2"/>
      <c r="P119" s="1"/>
    </row>
    <row r="120" spans="2:16" x14ac:dyDescent="0.2">
      <c r="B120" s="1"/>
      <c r="C120" s="9"/>
      <c r="D120" s="9"/>
      <c r="E120" s="9"/>
      <c r="F120" s="1"/>
      <c r="G120" s="1"/>
      <c r="H120" s="1"/>
      <c r="I120" s="1"/>
      <c r="J120" s="5"/>
      <c r="K120" s="12"/>
      <c r="L120" s="1"/>
      <c r="M120" s="1"/>
      <c r="N120" s="6"/>
      <c r="O120" s="2"/>
      <c r="P120" s="1"/>
    </row>
    <row r="121" spans="2:16" x14ac:dyDescent="0.25">
      <c r="B121" s="1"/>
      <c r="C121" s="13"/>
      <c r="D121" s="5"/>
      <c r="E121" s="1"/>
      <c r="F121" s="1"/>
      <c r="G121" s="1"/>
      <c r="H121" s="1"/>
      <c r="I121" s="1"/>
      <c r="J121" s="5"/>
      <c r="K121" s="5"/>
      <c r="L121" s="1"/>
      <c r="M121" s="1"/>
      <c r="N121" s="6"/>
      <c r="O121" s="2"/>
      <c r="P121" s="1"/>
    </row>
    <row r="122" spans="2:16" ht="22" x14ac:dyDescent="0.25">
      <c r="B122" s="195" t="s">
        <v>29</v>
      </c>
      <c r="C122" s="195"/>
      <c r="D122" s="52" t="s">
        <v>30</v>
      </c>
      <c r="E122" s="61" t="s">
        <v>28</v>
      </c>
      <c r="F122" s="61" t="s">
        <v>31</v>
      </c>
      <c r="G122" s="61" t="s">
        <v>32</v>
      </c>
      <c r="H122" s="53" t="s">
        <v>33</v>
      </c>
      <c r="I122" s="53" t="s">
        <v>34</v>
      </c>
      <c r="J122" s="53" t="s">
        <v>35</v>
      </c>
      <c r="K122" s="54" t="s">
        <v>36</v>
      </c>
      <c r="L122" s="55" t="s">
        <v>37</v>
      </c>
      <c r="M122" s="56" t="s">
        <v>37</v>
      </c>
      <c r="N122" s="61" t="s">
        <v>38</v>
      </c>
      <c r="O122" s="2"/>
      <c r="P122" s="1"/>
    </row>
    <row r="123" spans="2:16" ht="22" x14ac:dyDescent="0.25">
      <c r="B123" s="57" t="s">
        <v>11</v>
      </c>
      <c r="C123" s="14" t="s">
        <v>39</v>
      </c>
      <c r="D123" s="15">
        <f>+E118</f>
        <v>1000000</v>
      </c>
      <c r="E123" s="16">
        <v>8.8000000000000007</v>
      </c>
      <c r="F123" s="17">
        <v>0.55969999999999998</v>
      </c>
      <c r="G123" s="18">
        <v>30</v>
      </c>
      <c r="H123" s="18">
        <v>30</v>
      </c>
      <c r="I123" s="18">
        <v>15</v>
      </c>
      <c r="J123" s="18">
        <v>24</v>
      </c>
      <c r="K123" s="51">
        <f>+G119</f>
        <v>8800000</v>
      </c>
      <c r="L123" s="20">
        <v>0.1</v>
      </c>
      <c r="M123" s="21">
        <f>+K123*L123</f>
        <v>880000</v>
      </c>
      <c r="N123" s="18">
        <f>+K123+M123</f>
        <v>9680000</v>
      </c>
      <c r="O123" s="2"/>
      <c r="P123" s="1"/>
    </row>
    <row r="124" spans="2:16" ht="22" x14ac:dyDescent="0.25">
      <c r="B124" s="57" t="s">
        <v>12</v>
      </c>
      <c r="C124" s="14" t="s">
        <v>40</v>
      </c>
      <c r="D124" s="15">
        <f>+D123</f>
        <v>1000000</v>
      </c>
      <c r="E124" s="16">
        <v>8.8000000000000007</v>
      </c>
      <c r="F124" s="17">
        <v>0.55969999999999998</v>
      </c>
      <c r="G124" s="18">
        <v>30</v>
      </c>
      <c r="H124" s="18">
        <v>30</v>
      </c>
      <c r="I124" s="18">
        <v>15</v>
      </c>
      <c r="J124" s="18">
        <v>24</v>
      </c>
      <c r="K124" s="51">
        <f>+G119</f>
        <v>8800000</v>
      </c>
      <c r="L124" s="20">
        <v>0.08</v>
      </c>
      <c r="M124" s="21">
        <f t="shared" ref="M124:M131" si="29">+K124*L124</f>
        <v>704000</v>
      </c>
      <c r="N124" s="18">
        <f>+K124+M124</f>
        <v>9504000</v>
      </c>
      <c r="O124" s="2"/>
      <c r="P124" s="1"/>
    </row>
    <row r="125" spans="2:16" ht="22" x14ac:dyDescent="0.25">
      <c r="B125" s="60" t="s">
        <v>13</v>
      </c>
      <c r="C125" s="22" t="s">
        <v>41</v>
      </c>
      <c r="D125" s="15">
        <f t="shared" ref="D125:D131" si="30">+D124</f>
        <v>1000000</v>
      </c>
      <c r="E125" s="24">
        <v>8.8000000000000007</v>
      </c>
      <c r="F125" s="25">
        <v>0.55969999999999998</v>
      </c>
      <c r="G125" s="26">
        <v>30</v>
      </c>
      <c r="H125" s="27">
        <v>24</v>
      </c>
      <c r="I125" s="26">
        <v>15</v>
      </c>
      <c r="J125" s="26">
        <v>15</v>
      </c>
      <c r="K125" s="51">
        <f>+((G119*55.97%)/15*15)/30*24</f>
        <v>3940288</v>
      </c>
      <c r="L125" s="28">
        <v>0.08</v>
      </c>
      <c r="M125" s="29">
        <f t="shared" si="29"/>
        <v>315223</v>
      </c>
      <c r="N125" s="58">
        <f t="shared" ref="N125:N131" si="31">+K125+M125</f>
        <v>4255511</v>
      </c>
      <c r="O125" s="2"/>
      <c r="P125" s="1"/>
    </row>
    <row r="126" spans="2:16" ht="22" x14ac:dyDescent="0.25">
      <c r="B126" s="60" t="s">
        <v>14</v>
      </c>
      <c r="C126" s="22" t="s">
        <v>42</v>
      </c>
      <c r="D126" s="15">
        <f t="shared" si="30"/>
        <v>1000000</v>
      </c>
      <c r="E126" s="24">
        <v>8.8000000000000007</v>
      </c>
      <c r="F126" s="25">
        <v>0.55969999999999998</v>
      </c>
      <c r="G126" s="26">
        <v>30</v>
      </c>
      <c r="H126" s="27">
        <v>24</v>
      </c>
      <c r="I126" s="26">
        <v>15</v>
      </c>
      <c r="J126" s="26">
        <v>10</v>
      </c>
      <c r="K126" s="51">
        <f>+((G119*55.97%)/15*10)/30*24</f>
        <v>2626858.7000000002</v>
      </c>
      <c r="L126" s="28">
        <v>0.08</v>
      </c>
      <c r="M126" s="29">
        <f t="shared" si="29"/>
        <v>210149</v>
      </c>
      <c r="N126" s="58">
        <f t="shared" si="31"/>
        <v>2837008</v>
      </c>
      <c r="O126" s="2"/>
      <c r="P126" s="1"/>
    </row>
    <row r="127" spans="2:16" ht="22" x14ac:dyDescent="0.25">
      <c r="B127" s="57" t="s">
        <v>15</v>
      </c>
      <c r="C127" s="14" t="s">
        <v>43</v>
      </c>
      <c r="D127" s="15">
        <f t="shared" si="30"/>
        <v>1000000</v>
      </c>
      <c r="E127" s="16">
        <v>8.8000000000000007</v>
      </c>
      <c r="F127" s="17">
        <v>0.55969999999999998</v>
      </c>
      <c r="G127" s="18">
        <v>30</v>
      </c>
      <c r="H127" s="30">
        <v>30</v>
      </c>
      <c r="I127" s="18">
        <v>15</v>
      </c>
      <c r="J127" s="18">
        <v>24</v>
      </c>
      <c r="K127" s="51">
        <f>+G119</f>
        <v>8800000</v>
      </c>
      <c r="L127" s="20">
        <v>0.11</v>
      </c>
      <c r="M127" s="21">
        <f t="shared" si="29"/>
        <v>968000</v>
      </c>
      <c r="N127" s="18">
        <f t="shared" si="31"/>
        <v>9768000</v>
      </c>
      <c r="O127" s="2"/>
      <c r="P127" s="1"/>
    </row>
    <row r="128" spans="2:16" ht="22" x14ac:dyDescent="0.25">
      <c r="B128" s="60"/>
      <c r="C128" s="22" t="s">
        <v>44</v>
      </c>
      <c r="D128" s="15">
        <f t="shared" si="30"/>
        <v>1000000</v>
      </c>
      <c r="E128" s="24">
        <v>8.8000000000000007</v>
      </c>
      <c r="F128" s="25">
        <v>0.55969999999999998</v>
      </c>
      <c r="G128" s="26">
        <v>30</v>
      </c>
      <c r="H128" s="27">
        <v>24</v>
      </c>
      <c r="I128" s="26">
        <v>15</v>
      </c>
      <c r="J128" s="26">
        <v>14</v>
      </c>
      <c r="K128" s="51">
        <f>+((G119*55.97%)/15*14)/30*24</f>
        <v>3677602.1</v>
      </c>
      <c r="L128" s="28">
        <v>0.08</v>
      </c>
      <c r="M128" s="29">
        <f t="shared" si="29"/>
        <v>294208</v>
      </c>
      <c r="N128" s="58">
        <f t="shared" si="31"/>
        <v>3971810</v>
      </c>
      <c r="O128" s="2"/>
      <c r="P128" s="1"/>
    </row>
    <row r="129" spans="2:16" ht="22" x14ac:dyDescent="0.25">
      <c r="B129" s="60" t="s">
        <v>16</v>
      </c>
      <c r="C129" s="22" t="s">
        <v>17</v>
      </c>
      <c r="D129" s="15">
        <f t="shared" si="30"/>
        <v>1000000</v>
      </c>
      <c r="E129" s="24">
        <v>8.8000000000000007</v>
      </c>
      <c r="F129" s="25">
        <v>0.55969999999999998</v>
      </c>
      <c r="G129" s="26">
        <v>30</v>
      </c>
      <c r="H129" s="27">
        <v>24</v>
      </c>
      <c r="I129" s="26">
        <v>15</v>
      </c>
      <c r="J129" s="26">
        <v>12</v>
      </c>
      <c r="K129" s="51">
        <f>+((G119*55.97%)/15*12)/30*24</f>
        <v>3152230.3999999999</v>
      </c>
      <c r="L129" s="28">
        <v>0.08</v>
      </c>
      <c r="M129" s="29">
        <f t="shared" si="29"/>
        <v>252178</v>
      </c>
      <c r="N129" s="58">
        <f t="shared" si="31"/>
        <v>3404408</v>
      </c>
      <c r="O129" s="2"/>
      <c r="P129" s="1"/>
    </row>
    <row r="130" spans="2:16" ht="22" x14ac:dyDescent="0.25">
      <c r="B130" s="60"/>
      <c r="C130" s="22" t="s">
        <v>45</v>
      </c>
      <c r="D130" s="15">
        <f t="shared" si="30"/>
        <v>1000000</v>
      </c>
      <c r="E130" s="24">
        <v>8.8000000000000007</v>
      </c>
      <c r="F130" s="25">
        <v>0.55969999999999998</v>
      </c>
      <c r="G130" s="26">
        <v>30</v>
      </c>
      <c r="H130" s="27">
        <v>20</v>
      </c>
      <c r="I130" s="26">
        <v>15</v>
      </c>
      <c r="J130" s="26">
        <v>12</v>
      </c>
      <c r="K130" s="51">
        <f>+((G119*55.97%)/15*12)/30*20</f>
        <v>2626858.7000000002</v>
      </c>
      <c r="L130" s="28">
        <v>0.08</v>
      </c>
      <c r="M130" s="29">
        <f t="shared" si="29"/>
        <v>210149</v>
      </c>
      <c r="N130" s="58">
        <f t="shared" si="31"/>
        <v>2837008</v>
      </c>
      <c r="O130" s="2"/>
      <c r="P130" s="1"/>
    </row>
    <row r="131" spans="2:16" ht="22" x14ac:dyDescent="0.25">
      <c r="B131" s="57"/>
      <c r="C131" s="14" t="s">
        <v>47</v>
      </c>
      <c r="D131" s="15">
        <f t="shared" si="30"/>
        <v>1000000</v>
      </c>
      <c r="E131" s="16">
        <v>8.8000000000000007</v>
      </c>
      <c r="F131" s="17">
        <v>0.55969999999999998</v>
      </c>
      <c r="G131" s="18">
        <v>30</v>
      </c>
      <c r="H131" s="30">
        <v>30</v>
      </c>
      <c r="I131" s="18">
        <v>15</v>
      </c>
      <c r="J131" s="18">
        <v>24</v>
      </c>
      <c r="K131" s="51">
        <f>+G119</f>
        <v>8800000</v>
      </c>
      <c r="L131" s="20">
        <v>0.08</v>
      </c>
      <c r="M131" s="21">
        <f t="shared" si="29"/>
        <v>704000</v>
      </c>
      <c r="N131" s="18">
        <f t="shared" si="31"/>
        <v>9504000</v>
      </c>
      <c r="O131" s="2"/>
      <c r="P131" s="1"/>
    </row>
    <row r="132" spans="2:16" x14ac:dyDescent="0.2">
      <c r="B132" s="1"/>
      <c r="C132" s="31"/>
      <c r="D132" s="31"/>
      <c r="E132" s="5"/>
      <c r="F132" s="1"/>
      <c r="G132" s="1"/>
      <c r="H132" s="1"/>
      <c r="I132" s="1"/>
      <c r="J132" s="5"/>
      <c r="K132" s="5"/>
      <c r="L132" s="1"/>
      <c r="M132" s="1"/>
      <c r="N132" s="2"/>
      <c r="O132" s="2"/>
      <c r="P132" s="1"/>
    </row>
    <row r="133" spans="2:16" x14ac:dyDescent="0.2">
      <c r="B133" s="1"/>
      <c r="C133" s="5"/>
      <c r="D133" s="31"/>
      <c r="E133" s="5"/>
      <c r="F133" s="5"/>
      <c r="G133" s="1"/>
      <c r="H133" s="1"/>
      <c r="I133" s="1"/>
      <c r="J133" s="1"/>
      <c r="K133" s="5"/>
      <c r="L133" s="5"/>
      <c r="M133" s="1"/>
      <c r="N133" s="1"/>
      <c r="O133" s="2"/>
      <c r="P133" s="1"/>
    </row>
    <row r="134" spans="2:16" x14ac:dyDescent="0.2">
      <c r="B134" s="1"/>
      <c r="C134" s="5"/>
      <c r="D134" s="31"/>
      <c r="E134" s="5"/>
      <c r="F134" s="5"/>
      <c r="G134" s="1"/>
      <c r="H134" s="1"/>
      <c r="I134" s="1"/>
      <c r="J134" s="1"/>
      <c r="K134" s="5"/>
      <c r="L134" s="5"/>
      <c r="M134" s="1"/>
      <c r="N134" s="1"/>
      <c r="O134" s="2"/>
      <c r="P134" s="1"/>
    </row>
    <row r="135" spans="2:16" x14ac:dyDescent="0.25">
      <c r="B135" s="192" t="s">
        <v>18</v>
      </c>
      <c r="C135" s="193" t="s">
        <v>48</v>
      </c>
      <c r="D135" s="23">
        <v>1000000</v>
      </c>
      <c r="E135" s="24">
        <v>8.8000000000000007</v>
      </c>
      <c r="F135" s="25">
        <v>0.55969999999999998</v>
      </c>
      <c r="G135" s="26">
        <v>30</v>
      </c>
      <c r="H135" s="27">
        <v>20</v>
      </c>
      <c r="I135" s="26">
        <v>15</v>
      </c>
      <c r="J135" s="26">
        <v>13</v>
      </c>
      <c r="K135" s="19">
        <f>+((G119*55.97%)/15*13)/30*20</f>
        <v>2845764</v>
      </c>
      <c r="L135" s="28">
        <v>0.1</v>
      </c>
      <c r="M135" s="29">
        <f>+K135*L135</f>
        <v>284576</v>
      </c>
      <c r="N135" s="58">
        <f>+K135+M135</f>
        <v>3130340</v>
      </c>
      <c r="O135" s="2"/>
      <c r="P135" s="1"/>
    </row>
    <row r="136" spans="2:16" x14ac:dyDescent="0.25">
      <c r="B136" s="192"/>
      <c r="C136" s="193"/>
      <c r="D136" s="23">
        <v>1000000</v>
      </c>
      <c r="E136" s="24">
        <v>8.8000000000000007</v>
      </c>
      <c r="F136" s="25">
        <v>0.55969999999999998</v>
      </c>
      <c r="G136" s="26">
        <v>30</v>
      </c>
      <c r="H136" s="27">
        <v>20</v>
      </c>
      <c r="I136" s="26">
        <v>15</v>
      </c>
      <c r="J136" s="26">
        <v>8</v>
      </c>
      <c r="K136" s="19">
        <f>+((G119*55.97%)/15*8)/30*4</f>
        <v>350248</v>
      </c>
      <c r="L136" s="28">
        <v>0.1</v>
      </c>
      <c r="M136" s="29">
        <f>+K136*L136</f>
        <v>35025</v>
      </c>
      <c r="N136" s="58">
        <f>+K136+M136</f>
        <v>385273</v>
      </c>
      <c r="O136" s="2"/>
      <c r="P136" s="1"/>
    </row>
    <row r="137" spans="2:16" ht="23" x14ac:dyDescent="0.2">
      <c r="B137" s="1"/>
      <c r="C137" s="32"/>
      <c r="D137" s="31"/>
      <c r="E137" s="5"/>
      <c r="F137" s="5"/>
      <c r="G137" s="1"/>
      <c r="H137" s="1"/>
      <c r="I137" s="1"/>
      <c r="J137" s="1"/>
      <c r="K137" s="5"/>
      <c r="L137" s="5"/>
      <c r="M137" s="1"/>
      <c r="N137" s="1"/>
      <c r="O137" s="2"/>
      <c r="P137" s="1"/>
    </row>
    <row r="138" spans="2:16" ht="23" x14ac:dyDescent="0.2">
      <c r="B138" s="1"/>
      <c r="C138" s="32"/>
      <c r="D138" s="31"/>
      <c r="E138" s="5"/>
      <c r="F138" s="5"/>
      <c r="G138" s="1"/>
      <c r="H138" s="1"/>
      <c r="I138" s="1"/>
      <c r="J138" s="1"/>
      <c r="K138" s="5"/>
      <c r="L138" s="5"/>
      <c r="M138" s="1"/>
      <c r="N138" s="1"/>
      <c r="O138" s="2"/>
      <c r="P138" s="1"/>
    </row>
    <row r="139" spans="2:16" x14ac:dyDescent="0.25">
      <c r="B139" s="192" t="s">
        <v>19</v>
      </c>
      <c r="C139" s="193" t="s">
        <v>49</v>
      </c>
      <c r="D139" s="23">
        <v>1000000</v>
      </c>
      <c r="E139" s="24">
        <v>8.8000000000000007</v>
      </c>
      <c r="F139" s="25">
        <v>0.55969999999999998</v>
      </c>
      <c r="G139" s="26">
        <v>30</v>
      </c>
      <c r="H139" s="27">
        <v>20</v>
      </c>
      <c r="I139" s="26">
        <v>15</v>
      </c>
      <c r="J139" s="26">
        <v>15</v>
      </c>
      <c r="K139" s="19">
        <f>+((G119*55.97%)/15*15)/30*20</f>
        <v>3283573</v>
      </c>
      <c r="L139" s="28">
        <v>0.08</v>
      </c>
      <c r="M139" s="29">
        <f>+K139*L139</f>
        <v>262686</v>
      </c>
      <c r="N139" s="58">
        <f>+K139+M139</f>
        <v>3546259</v>
      </c>
      <c r="O139" s="2"/>
      <c r="P139" s="1"/>
    </row>
    <row r="140" spans="2:16" x14ac:dyDescent="0.25">
      <c r="B140" s="192"/>
      <c r="C140" s="193"/>
      <c r="D140" s="23">
        <v>1000000</v>
      </c>
      <c r="E140" s="24">
        <v>8.8000000000000007</v>
      </c>
      <c r="F140" s="25">
        <v>0.55969999999999998</v>
      </c>
      <c r="G140" s="26">
        <v>30</v>
      </c>
      <c r="H140" s="27">
        <v>20</v>
      </c>
      <c r="I140" s="26">
        <v>15</v>
      </c>
      <c r="J140" s="26">
        <v>8</v>
      </c>
      <c r="K140" s="19">
        <f>+((G119*55.97%)/15*8)/30*4</f>
        <v>350248</v>
      </c>
      <c r="L140" s="28">
        <v>0.08</v>
      </c>
      <c r="M140" s="29">
        <f>+K140*L140</f>
        <v>28020</v>
      </c>
      <c r="N140" s="58">
        <f>+K140+M140</f>
        <v>378268</v>
      </c>
      <c r="O140" s="2"/>
      <c r="P140" s="1"/>
    </row>
    <row r="141" spans="2:16" x14ac:dyDescent="0.2">
      <c r="B141" s="1"/>
      <c r="C141" s="5"/>
      <c r="D141" s="31"/>
      <c r="E141" s="5"/>
      <c r="F141" s="5"/>
      <c r="G141" s="1"/>
      <c r="H141" s="1"/>
      <c r="I141" s="1"/>
      <c r="J141" s="1"/>
      <c r="K141" s="5"/>
      <c r="L141" s="5"/>
      <c r="M141" s="1"/>
      <c r="N141" s="1"/>
      <c r="O141" s="2"/>
      <c r="P141" s="1"/>
    </row>
    <row r="142" spans="2:16" x14ac:dyDescent="0.2">
      <c r="B142" s="1"/>
      <c r="C142" s="5"/>
      <c r="D142" s="31"/>
      <c r="E142" s="5"/>
      <c r="F142" s="5"/>
      <c r="G142" s="1"/>
      <c r="H142" s="1"/>
      <c r="I142" s="1"/>
      <c r="J142" s="1"/>
      <c r="K142" s="5"/>
      <c r="L142" s="5"/>
      <c r="M142" s="1"/>
      <c r="N142" s="1"/>
      <c r="O142" s="2"/>
      <c r="P142" s="1"/>
    </row>
    <row r="143" spans="2:16" x14ac:dyDescent="0.2">
      <c r="B143" s="1"/>
      <c r="C143" s="5"/>
      <c r="D143" s="31"/>
      <c r="E143" s="5"/>
      <c r="F143" s="5"/>
      <c r="G143" s="1"/>
      <c r="H143" s="1"/>
      <c r="I143" s="1"/>
      <c r="J143" s="1"/>
      <c r="K143" s="5"/>
      <c r="L143" s="5"/>
      <c r="M143" s="1"/>
      <c r="N143" s="1"/>
      <c r="O143" s="2"/>
      <c r="P143" s="1"/>
    </row>
    <row r="144" spans="2:16" x14ac:dyDescent="0.2">
      <c r="B144" s="1"/>
      <c r="C144" s="5"/>
      <c r="D144" s="31"/>
      <c r="E144" s="5"/>
      <c r="F144" s="5"/>
      <c r="G144" s="1"/>
      <c r="H144" s="1"/>
      <c r="I144" s="1"/>
      <c r="J144" s="1"/>
      <c r="K144" s="5"/>
      <c r="L144" s="5"/>
      <c r="M144" s="1"/>
      <c r="N144" s="1"/>
      <c r="O144" s="2"/>
      <c r="P144" s="1"/>
    </row>
    <row r="145" spans="2:16" x14ac:dyDescent="0.2">
      <c r="B145" s="1"/>
      <c r="C145" s="5"/>
      <c r="D145" s="31"/>
      <c r="E145" s="5"/>
      <c r="F145" s="5"/>
      <c r="G145" s="1"/>
      <c r="H145" s="1"/>
      <c r="I145" s="1"/>
      <c r="J145" s="1"/>
      <c r="K145" s="5"/>
      <c r="L145" s="5"/>
      <c r="M145" s="1"/>
      <c r="N145" s="1"/>
      <c r="O145" s="2"/>
      <c r="P145" s="1"/>
    </row>
    <row r="146" spans="2:16" x14ac:dyDescent="0.2">
      <c r="B146" s="1"/>
      <c r="C146" s="5"/>
      <c r="D146" s="31"/>
      <c r="E146" s="5"/>
      <c r="F146" s="5"/>
      <c r="G146" s="1"/>
      <c r="H146" s="1"/>
      <c r="I146" s="1"/>
      <c r="J146" s="1"/>
      <c r="K146" s="5"/>
      <c r="L146" s="5"/>
      <c r="M146" s="1"/>
      <c r="N146" s="1"/>
      <c r="O146" s="2"/>
      <c r="P146" s="1"/>
    </row>
    <row r="147" spans="2:16" x14ac:dyDescent="0.2">
      <c r="B147" s="1"/>
      <c r="C147" s="5"/>
      <c r="D147" s="31"/>
      <c r="E147" s="5"/>
      <c r="F147" s="5"/>
      <c r="G147" s="1"/>
      <c r="H147" s="1"/>
      <c r="I147" s="1"/>
      <c r="J147" s="1"/>
      <c r="K147" s="5"/>
      <c r="L147" s="5"/>
      <c r="M147" s="1"/>
      <c r="N147" s="1"/>
      <c r="O147" s="2"/>
      <c r="P147" s="1"/>
    </row>
    <row r="148" spans="2:16" x14ac:dyDescent="0.2">
      <c r="B148" s="1"/>
      <c r="C148" s="5"/>
      <c r="D148" s="31"/>
      <c r="E148" s="5"/>
      <c r="F148" s="5"/>
      <c r="G148" s="1"/>
      <c r="H148" s="1"/>
      <c r="I148" s="1"/>
      <c r="J148" s="1"/>
      <c r="K148" s="5"/>
      <c r="L148" s="5"/>
      <c r="M148" s="1"/>
      <c r="N148" s="1"/>
      <c r="O148" s="2"/>
      <c r="P148" s="1"/>
    </row>
    <row r="149" spans="2:16" x14ac:dyDescent="0.2">
      <c r="B149" s="1"/>
      <c r="C149" s="5"/>
      <c r="D149" s="31"/>
      <c r="E149" s="5"/>
      <c r="F149" s="5"/>
      <c r="G149" s="1"/>
      <c r="H149" s="1"/>
      <c r="I149" s="1"/>
      <c r="J149" s="1"/>
      <c r="K149" s="5"/>
      <c r="L149" s="5"/>
      <c r="M149" s="1"/>
      <c r="N149" s="1"/>
      <c r="O149" s="2"/>
      <c r="P149" s="1"/>
    </row>
    <row r="150" spans="2:16" x14ac:dyDescent="0.2">
      <c r="B150" s="1"/>
      <c r="C150" s="5"/>
      <c r="D150" s="31"/>
      <c r="E150" s="5"/>
      <c r="F150" s="5"/>
      <c r="G150" s="1"/>
      <c r="H150" s="1"/>
      <c r="I150" s="1"/>
      <c r="J150" s="1"/>
      <c r="K150" s="5"/>
      <c r="L150" s="5"/>
      <c r="M150" s="1"/>
      <c r="N150" s="1"/>
      <c r="O150" s="2"/>
      <c r="P150" s="1"/>
    </row>
  </sheetData>
  <mergeCells count="52">
    <mergeCell ref="H107:I107"/>
    <mergeCell ref="H108:I108"/>
    <mergeCell ref="H109:I109"/>
    <mergeCell ref="H110:I110"/>
    <mergeCell ref="B139:B140"/>
    <mergeCell ref="C139:C140"/>
    <mergeCell ref="C114:E114"/>
    <mergeCell ref="C115:E115"/>
    <mergeCell ref="C116:E116"/>
    <mergeCell ref="B122:C122"/>
    <mergeCell ref="B135:B136"/>
    <mergeCell ref="C135:C136"/>
    <mergeCell ref="F107:F110"/>
    <mergeCell ref="G107:G110"/>
    <mergeCell ref="A90:A105"/>
    <mergeCell ref="B90:D90"/>
    <mergeCell ref="E90:K90"/>
    <mergeCell ref="E103:J103"/>
    <mergeCell ref="E104:J104"/>
    <mergeCell ref="E105:J105"/>
    <mergeCell ref="A73:A88"/>
    <mergeCell ref="B73:D73"/>
    <mergeCell ref="E73:K73"/>
    <mergeCell ref="E69:J69"/>
    <mergeCell ref="E70:J70"/>
    <mergeCell ref="A55:A70"/>
    <mergeCell ref="E86:J86"/>
    <mergeCell ref="E87:J87"/>
    <mergeCell ref="E88:J88"/>
    <mergeCell ref="E68:J68"/>
    <mergeCell ref="B55:D55"/>
    <mergeCell ref="E55:K55"/>
    <mergeCell ref="E52:J52"/>
    <mergeCell ref="E53:J53"/>
    <mergeCell ref="B72:D72"/>
    <mergeCell ref="A38:A53"/>
    <mergeCell ref="A22:A35"/>
    <mergeCell ref="B22:D22"/>
    <mergeCell ref="E22:K22"/>
    <mergeCell ref="E35:J35"/>
    <mergeCell ref="B38:D38"/>
    <mergeCell ref="E38:K38"/>
    <mergeCell ref="E51:J51"/>
    <mergeCell ref="A1:K1"/>
    <mergeCell ref="A2:K2"/>
    <mergeCell ref="A3:K3"/>
    <mergeCell ref="A5:K5"/>
    <mergeCell ref="A7:A20"/>
    <mergeCell ref="B7:D7"/>
    <mergeCell ref="E7:K7"/>
    <mergeCell ref="B20:D20"/>
    <mergeCell ref="E20:J20"/>
  </mergeCells>
  <pageMargins left="0.7" right="0.7" top="0.75" bottom="0.75" header="0.3" footer="0.3"/>
  <pageSetup orientation="portrait" r:id="rId1"/>
  <ignoredErrors>
    <ignoredError sqref="F13:F16 F28:F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2"/>
  <sheetViews>
    <sheetView topLeftCell="A64" zoomScale="55" zoomScaleNormal="55" workbookViewId="0">
      <selection activeCell="J96" sqref="J96"/>
    </sheetView>
  </sheetViews>
  <sheetFormatPr baseColWidth="10" defaultColWidth="11.5" defaultRowHeight="21" x14ac:dyDescent="0.2"/>
  <cols>
    <col min="1" max="1" width="11.5" style="33"/>
    <col min="2" max="2" width="14.5" style="45" customWidth="1"/>
    <col min="3" max="3" width="93.5" style="46" customWidth="1"/>
    <col min="4" max="4" width="20.1640625" style="45" customWidth="1"/>
    <col min="5" max="5" width="35.5" style="33" customWidth="1"/>
    <col min="6" max="6" width="31.5" style="33" customWidth="1"/>
    <col min="7" max="7" width="34.5" style="47" customWidth="1"/>
    <col min="8" max="8" width="28" style="33" customWidth="1"/>
    <col min="9" max="9" width="34" style="33" customWidth="1"/>
    <col min="10" max="10" width="30.33203125" style="33" customWidth="1"/>
    <col min="11" max="11" width="35.33203125" style="33" customWidth="1"/>
    <col min="12" max="12" width="11.5" style="33" customWidth="1"/>
    <col min="13" max="13" width="20.5" style="33" customWidth="1"/>
    <col min="14" max="14" width="21.83203125" style="33" bestFit="1" customWidth="1"/>
    <col min="15" max="15" width="18.5" style="33" bestFit="1" customWidth="1"/>
    <col min="16" max="21" width="27.83203125" style="33" customWidth="1"/>
    <col min="22" max="16384" width="11.5" style="33"/>
  </cols>
  <sheetData>
    <row r="1" spans="1:11" ht="28.5" customHeight="1" x14ac:dyDescent="0.2">
      <c r="A1" s="17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x14ac:dyDescent="0.2">
      <c r="A2" s="178" t="s">
        <v>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x14ac:dyDescent="0.2">
      <c r="A3" s="178" t="s">
        <v>52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5" spans="1:11" ht="28.5" customHeight="1" x14ac:dyDescent="0.2">
      <c r="A5" s="178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28.5" customHeight="1" x14ac:dyDescent="0.2">
      <c r="A6" s="59"/>
      <c r="B6" s="59"/>
      <c r="C6" s="59"/>
      <c r="D6" s="59"/>
      <c r="E6" s="34"/>
      <c r="F6" s="34"/>
      <c r="G6" s="34"/>
    </row>
    <row r="7" spans="1:11" ht="48.75" customHeight="1" x14ac:dyDescent="0.2">
      <c r="A7" s="179">
        <v>1</v>
      </c>
      <c r="B7" s="180" t="s">
        <v>68</v>
      </c>
      <c r="C7" s="180"/>
      <c r="D7" s="180"/>
      <c r="E7" s="181" t="s">
        <v>66</v>
      </c>
      <c r="F7" s="181"/>
      <c r="G7" s="181"/>
      <c r="H7" s="181"/>
      <c r="I7" s="181"/>
      <c r="J7" s="181"/>
      <c r="K7" s="181"/>
    </row>
    <row r="8" spans="1:11" ht="75.75" customHeight="1" x14ac:dyDescent="0.2">
      <c r="A8" s="179"/>
      <c r="B8" s="63" t="s">
        <v>1</v>
      </c>
      <c r="C8" s="40" t="s">
        <v>2</v>
      </c>
      <c r="D8" s="63" t="s">
        <v>3</v>
      </c>
      <c r="E8" s="64" t="s">
        <v>65</v>
      </c>
      <c r="F8" s="64" t="s">
        <v>5</v>
      </c>
      <c r="G8" s="64" t="s">
        <v>6</v>
      </c>
      <c r="H8" s="64" t="s">
        <v>7</v>
      </c>
      <c r="I8" s="64" t="s">
        <v>8</v>
      </c>
      <c r="J8" s="64" t="s">
        <v>9</v>
      </c>
      <c r="K8" s="65" t="s">
        <v>10</v>
      </c>
    </row>
    <row r="9" spans="1:11" ht="27.75" customHeight="1" x14ac:dyDescent="0.2">
      <c r="A9" s="179"/>
      <c r="B9" s="36" t="s">
        <v>11</v>
      </c>
      <c r="C9" s="35" t="s">
        <v>53</v>
      </c>
      <c r="D9" s="36">
        <f>+'[1]Servicios CLASE'!C51</f>
        <v>18</v>
      </c>
      <c r="E9" s="38">
        <f>+K115</f>
        <v>8800000</v>
      </c>
      <c r="F9" s="37">
        <f>+E9*10/100+E9</f>
        <v>9680000</v>
      </c>
      <c r="G9" s="37">
        <f>+F9*10%</f>
        <v>968000</v>
      </c>
      <c r="H9" s="37">
        <f>+G9*0.19</f>
        <v>183920</v>
      </c>
      <c r="I9" s="38">
        <f>F9+H9</f>
        <v>9863920</v>
      </c>
      <c r="J9" s="39">
        <v>0.5</v>
      </c>
      <c r="K9" s="66">
        <f t="shared" ref="K9:K19" si="0">+D9*I9*J9</f>
        <v>88775280</v>
      </c>
    </row>
    <row r="10" spans="1:11" ht="27.75" customHeight="1" x14ac:dyDescent="0.2">
      <c r="A10" s="179"/>
      <c r="B10" s="36" t="s">
        <v>12</v>
      </c>
      <c r="C10" s="35" t="s">
        <v>54</v>
      </c>
      <c r="D10" s="36">
        <f>+'[1]Servicios CLASE'!D51</f>
        <v>1</v>
      </c>
      <c r="E10" s="38">
        <f>+K116</f>
        <v>8800000</v>
      </c>
      <c r="F10" s="37">
        <f>+E10*8/100+E10</f>
        <v>9504000</v>
      </c>
      <c r="G10" s="37">
        <f t="shared" ref="G10:G16" si="1">+F10*10%</f>
        <v>950400</v>
      </c>
      <c r="H10" s="37">
        <f t="shared" ref="H10:H16" si="2">+G10*0.19</f>
        <v>180576</v>
      </c>
      <c r="I10" s="38">
        <f t="shared" ref="I10:I16" si="3">F10+H10</f>
        <v>9684576</v>
      </c>
      <c r="J10" s="39">
        <v>0.5</v>
      </c>
      <c r="K10" s="66">
        <f t="shared" si="0"/>
        <v>4842288</v>
      </c>
    </row>
    <row r="11" spans="1:11" ht="27.75" customHeight="1" x14ac:dyDescent="0.2">
      <c r="A11" s="179"/>
      <c r="B11" s="36" t="s">
        <v>13</v>
      </c>
      <c r="C11" s="35" t="s">
        <v>55</v>
      </c>
      <c r="D11" s="36">
        <f>+'[1]Servicios CLASE'!E51</f>
        <v>18</v>
      </c>
      <c r="E11" s="38">
        <f>+K117</f>
        <v>3940288</v>
      </c>
      <c r="F11" s="37">
        <f>+E11*8/100+E11</f>
        <v>4255511</v>
      </c>
      <c r="G11" s="37">
        <f t="shared" si="1"/>
        <v>425551</v>
      </c>
      <c r="H11" s="37">
        <f t="shared" si="2"/>
        <v>80855</v>
      </c>
      <c r="I11" s="38">
        <f t="shared" si="3"/>
        <v>4336366</v>
      </c>
      <c r="J11" s="39">
        <v>0.5</v>
      </c>
      <c r="K11" s="66">
        <f t="shared" si="0"/>
        <v>39027294</v>
      </c>
    </row>
    <row r="12" spans="1:11" ht="27.75" customHeight="1" x14ac:dyDescent="0.2">
      <c r="A12" s="179"/>
      <c r="B12" s="36" t="s">
        <v>14</v>
      </c>
      <c r="C12" s="35" t="s">
        <v>56</v>
      </c>
      <c r="D12" s="36">
        <f>+'[1]Servicios CLASE'!F51</f>
        <v>2</v>
      </c>
      <c r="E12" s="38">
        <f>+K118</f>
        <v>2626859</v>
      </c>
      <c r="F12" s="37">
        <f>+E12*8/100+E12</f>
        <v>2837008</v>
      </c>
      <c r="G12" s="37">
        <f t="shared" si="1"/>
        <v>283701</v>
      </c>
      <c r="H12" s="37">
        <f t="shared" si="2"/>
        <v>53903</v>
      </c>
      <c r="I12" s="38">
        <f t="shared" si="3"/>
        <v>2890911</v>
      </c>
      <c r="J12" s="39">
        <v>0.5</v>
      </c>
      <c r="K12" s="66">
        <f t="shared" si="0"/>
        <v>2890911</v>
      </c>
    </row>
    <row r="13" spans="1:11" ht="27.75" customHeight="1" x14ac:dyDescent="0.2">
      <c r="A13" s="179"/>
      <c r="B13" s="36" t="s">
        <v>15</v>
      </c>
      <c r="C13" s="35" t="s">
        <v>57</v>
      </c>
      <c r="D13" s="36">
        <f>+'[1]Servicios CLASE'!G51</f>
        <v>2</v>
      </c>
      <c r="E13" s="38">
        <f>+K119</f>
        <v>8800000</v>
      </c>
      <c r="F13" s="37">
        <f>+E13*11/100+E13</f>
        <v>9768000</v>
      </c>
      <c r="G13" s="37">
        <f t="shared" si="1"/>
        <v>976800</v>
      </c>
      <c r="H13" s="37">
        <f t="shared" si="2"/>
        <v>185592</v>
      </c>
      <c r="I13" s="38">
        <f t="shared" si="3"/>
        <v>9953592</v>
      </c>
      <c r="J13" s="39">
        <v>0.5</v>
      </c>
      <c r="K13" s="66">
        <f t="shared" si="0"/>
        <v>9953592</v>
      </c>
    </row>
    <row r="14" spans="1:11" ht="27.75" customHeight="1" x14ac:dyDescent="0.2">
      <c r="A14" s="179"/>
      <c r="B14" s="36" t="s">
        <v>16</v>
      </c>
      <c r="C14" s="35" t="s">
        <v>58</v>
      </c>
      <c r="D14" s="36">
        <f>+'[1]Servicios CLASE'!H51</f>
        <v>3</v>
      </c>
      <c r="E14" s="38">
        <f>+K121</f>
        <v>3152230</v>
      </c>
      <c r="F14" s="37">
        <f>+E14*8/100+E14</f>
        <v>3404408</v>
      </c>
      <c r="G14" s="37">
        <f t="shared" si="1"/>
        <v>340441</v>
      </c>
      <c r="H14" s="37">
        <f t="shared" si="2"/>
        <v>64684</v>
      </c>
      <c r="I14" s="38">
        <f t="shared" si="3"/>
        <v>3469092</v>
      </c>
      <c r="J14" s="39">
        <v>0.5</v>
      </c>
      <c r="K14" s="66">
        <f t="shared" si="0"/>
        <v>5203638</v>
      </c>
    </row>
    <row r="15" spans="1:11" ht="39" customHeight="1" x14ac:dyDescent="0.2">
      <c r="A15" s="179"/>
      <c r="B15" s="36" t="s">
        <v>18</v>
      </c>
      <c r="C15" s="35" t="s">
        <v>59</v>
      </c>
      <c r="D15" s="36">
        <f>+'[1]Servicios CLASE'!I51</f>
        <v>1</v>
      </c>
      <c r="E15" s="38">
        <f>+K127+K128</f>
        <v>3196012</v>
      </c>
      <c r="F15" s="37">
        <f>+E15*10/100+E15</f>
        <v>3515613</v>
      </c>
      <c r="G15" s="37">
        <f t="shared" si="1"/>
        <v>351561</v>
      </c>
      <c r="H15" s="37">
        <f t="shared" si="2"/>
        <v>66797</v>
      </c>
      <c r="I15" s="38">
        <f t="shared" si="3"/>
        <v>3582410</v>
      </c>
      <c r="J15" s="39">
        <v>0.5</v>
      </c>
      <c r="K15" s="66">
        <f t="shared" si="0"/>
        <v>1791205</v>
      </c>
    </row>
    <row r="16" spans="1:11" ht="39" customHeight="1" x14ac:dyDescent="0.2">
      <c r="A16" s="179"/>
      <c r="B16" s="36" t="s">
        <v>19</v>
      </c>
      <c r="C16" s="35" t="s">
        <v>60</v>
      </c>
      <c r="D16" s="36">
        <f>+'[1]Servicios CLASE'!J51</f>
        <v>1</v>
      </c>
      <c r="E16" s="38">
        <f>+K131+K132</f>
        <v>3633821</v>
      </c>
      <c r="F16" s="37">
        <f>+E16*8/100+E16</f>
        <v>3924527</v>
      </c>
      <c r="G16" s="37">
        <f t="shared" si="1"/>
        <v>392453</v>
      </c>
      <c r="H16" s="37">
        <f t="shared" si="2"/>
        <v>74566</v>
      </c>
      <c r="I16" s="38">
        <f t="shared" si="3"/>
        <v>3999093</v>
      </c>
      <c r="J16" s="39">
        <v>0.5</v>
      </c>
      <c r="K16" s="66">
        <f t="shared" si="0"/>
        <v>1999547</v>
      </c>
    </row>
    <row r="17" spans="1:11" ht="42" customHeight="1" x14ac:dyDescent="0.2">
      <c r="A17" s="179"/>
      <c r="B17" s="36"/>
      <c r="C17" s="40" t="s">
        <v>20</v>
      </c>
      <c r="D17" s="36">
        <f>SUM(D9:D16)</f>
        <v>46</v>
      </c>
      <c r="E17" s="67"/>
      <c r="F17" s="41"/>
      <c r="G17" s="41"/>
      <c r="H17" s="41"/>
      <c r="I17" s="38"/>
      <c r="J17" s="39"/>
      <c r="K17" s="66"/>
    </row>
    <row r="18" spans="1:11" ht="28.5" customHeight="1" x14ac:dyDescent="0.2">
      <c r="A18" s="179"/>
      <c r="B18" s="36" t="s">
        <v>46</v>
      </c>
      <c r="C18" s="43" t="s">
        <v>61</v>
      </c>
      <c r="D18" s="36">
        <f>+'[1]Servicios CLASE'!K51</f>
        <v>1</v>
      </c>
      <c r="E18" s="38">
        <f>+K123</f>
        <v>8800000</v>
      </c>
      <c r="F18" s="37">
        <f>+E18*0.08+E18</f>
        <v>9504000</v>
      </c>
      <c r="G18" s="37">
        <f>+F18*10%</f>
        <v>950400</v>
      </c>
      <c r="H18" s="37">
        <f>+G18*0.19</f>
        <v>180576</v>
      </c>
      <c r="I18" s="38">
        <f>F18+H18</f>
        <v>9684576</v>
      </c>
      <c r="J18" s="39">
        <v>0.5</v>
      </c>
      <c r="K18" s="66">
        <f t="shared" si="0"/>
        <v>4842288</v>
      </c>
    </row>
    <row r="19" spans="1:11" ht="56.25" customHeight="1" x14ac:dyDescent="0.2">
      <c r="A19" s="179"/>
      <c r="B19" s="36" t="s">
        <v>62</v>
      </c>
      <c r="C19" s="44" t="s">
        <v>63</v>
      </c>
      <c r="D19" s="36">
        <v>1</v>
      </c>
      <c r="E19" s="67">
        <v>4719441</v>
      </c>
      <c r="F19" s="38"/>
      <c r="G19" s="38">
        <f>+E19*10/100</f>
        <v>471944</v>
      </c>
      <c r="H19" s="38">
        <f>+G19*0.19</f>
        <v>89669</v>
      </c>
      <c r="I19" s="38">
        <f>+E19+H19</f>
        <v>4809110</v>
      </c>
      <c r="J19" s="39">
        <v>0.5</v>
      </c>
      <c r="K19" s="66">
        <f t="shared" si="0"/>
        <v>2404555</v>
      </c>
    </row>
    <row r="20" spans="1:11" s="34" customFormat="1" ht="38.25" customHeight="1" x14ac:dyDescent="0.2">
      <c r="A20" s="179"/>
      <c r="B20" s="182"/>
      <c r="C20" s="182"/>
      <c r="D20" s="182"/>
      <c r="E20" s="182" t="s">
        <v>77</v>
      </c>
      <c r="F20" s="182"/>
      <c r="G20" s="182"/>
      <c r="H20" s="182"/>
      <c r="I20" s="182"/>
      <c r="J20" s="182"/>
      <c r="K20" s="68">
        <f>SUM(K9:K19)</f>
        <v>161730598</v>
      </c>
    </row>
    <row r="22" spans="1:11" ht="73.5" customHeight="1" x14ac:dyDescent="0.2">
      <c r="A22" s="179">
        <v>2</v>
      </c>
      <c r="B22" s="180" t="s">
        <v>69</v>
      </c>
      <c r="C22" s="180"/>
      <c r="D22" s="180"/>
      <c r="E22" s="181" t="s">
        <v>67</v>
      </c>
      <c r="F22" s="181"/>
      <c r="G22" s="181"/>
      <c r="H22" s="181"/>
      <c r="I22" s="181"/>
      <c r="J22" s="181"/>
      <c r="K22" s="181"/>
    </row>
    <row r="23" spans="1:11" ht="97.5" customHeight="1" x14ac:dyDescent="0.2">
      <c r="A23" s="179"/>
      <c r="B23" s="63" t="s">
        <v>1</v>
      </c>
      <c r="C23" s="40" t="s">
        <v>2</v>
      </c>
      <c r="D23" s="63" t="s">
        <v>3</v>
      </c>
      <c r="E23" s="64" t="s">
        <v>65</v>
      </c>
      <c r="F23" s="64" t="s">
        <v>5</v>
      </c>
      <c r="G23" s="64" t="s">
        <v>6</v>
      </c>
      <c r="H23" s="64" t="s">
        <v>7</v>
      </c>
      <c r="I23" s="64" t="s">
        <v>8</v>
      </c>
      <c r="J23" s="64" t="s">
        <v>9</v>
      </c>
      <c r="K23" s="65" t="s">
        <v>10</v>
      </c>
    </row>
    <row r="24" spans="1:11" x14ac:dyDescent="0.2">
      <c r="A24" s="179"/>
      <c r="B24" s="36" t="s">
        <v>11</v>
      </c>
      <c r="C24" s="35" t="s">
        <v>53</v>
      </c>
      <c r="D24" s="70">
        <v>18</v>
      </c>
      <c r="E24" s="38">
        <f t="shared" ref="E24:E31" si="4">+E9</f>
        <v>8800000</v>
      </c>
      <c r="F24" s="37">
        <f>+E24*10/100+E24</f>
        <v>9680000</v>
      </c>
      <c r="G24" s="37">
        <f>+F24*10%</f>
        <v>968000</v>
      </c>
      <c r="H24" s="37">
        <f>+G24*0.19</f>
        <v>183920</v>
      </c>
      <c r="I24" s="38">
        <f>F24+H24</f>
        <v>9863920</v>
      </c>
      <c r="J24" s="39">
        <v>0.5</v>
      </c>
      <c r="K24" s="66">
        <f t="shared" ref="K24:K31" si="5">+D24*I24*J24</f>
        <v>88775280</v>
      </c>
    </row>
    <row r="25" spans="1:11" x14ac:dyDescent="0.2">
      <c r="A25" s="179"/>
      <c r="B25" s="36" t="s">
        <v>12</v>
      </c>
      <c r="C25" s="35" t="s">
        <v>54</v>
      </c>
      <c r="D25" s="71">
        <v>1</v>
      </c>
      <c r="E25" s="38">
        <f t="shared" si="4"/>
        <v>8800000</v>
      </c>
      <c r="F25" s="37">
        <f>+E25*8/100+E25</f>
        <v>9504000</v>
      </c>
      <c r="G25" s="37">
        <f t="shared" ref="G25:G31" si="6">+F25*10%</f>
        <v>950400</v>
      </c>
      <c r="H25" s="37">
        <f t="shared" ref="H25:H31" si="7">+G25*0.19</f>
        <v>180576</v>
      </c>
      <c r="I25" s="38">
        <f t="shared" ref="I25:I31" si="8">F25+H25</f>
        <v>9684576</v>
      </c>
      <c r="J25" s="39">
        <v>0.5</v>
      </c>
      <c r="K25" s="66">
        <f t="shared" si="5"/>
        <v>4842288</v>
      </c>
    </row>
    <row r="26" spans="1:11" ht="29.25" customHeight="1" x14ac:dyDescent="0.2">
      <c r="A26" s="179"/>
      <c r="B26" s="36" t="s">
        <v>13</v>
      </c>
      <c r="C26" s="35" t="s">
        <v>55</v>
      </c>
      <c r="D26" s="71">
        <v>10</v>
      </c>
      <c r="E26" s="38">
        <f t="shared" si="4"/>
        <v>3940288</v>
      </c>
      <c r="F26" s="37">
        <f>+E26*8/100+E26</f>
        <v>4255511</v>
      </c>
      <c r="G26" s="37">
        <f t="shared" si="6"/>
        <v>425551</v>
      </c>
      <c r="H26" s="37">
        <f t="shared" si="7"/>
        <v>80855</v>
      </c>
      <c r="I26" s="38">
        <f t="shared" si="8"/>
        <v>4336366</v>
      </c>
      <c r="J26" s="39">
        <v>0.5</v>
      </c>
      <c r="K26" s="66">
        <f t="shared" si="5"/>
        <v>21681830</v>
      </c>
    </row>
    <row r="27" spans="1:11" ht="29.25" customHeight="1" x14ac:dyDescent="0.2">
      <c r="A27" s="179"/>
      <c r="B27" s="36" t="s">
        <v>14</v>
      </c>
      <c r="C27" s="35" t="s">
        <v>56</v>
      </c>
      <c r="D27" s="71">
        <v>0</v>
      </c>
      <c r="E27" s="38">
        <f t="shared" si="4"/>
        <v>2626859</v>
      </c>
      <c r="F27" s="37">
        <f>+E27*8/100+E27</f>
        <v>2837008</v>
      </c>
      <c r="G27" s="37">
        <f t="shared" si="6"/>
        <v>283701</v>
      </c>
      <c r="H27" s="37">
        <f t="shared" si="7"/>
        <v>53903</v>
      </c>
      <c r="I27" s="38">
        <f t="shared" si="8"/>
        <v>2890911</v>
      </c>
      <c r="J27" s="39">
        <v>0.5</v>
      </c>
      <c r="K27" s="66">
        <f t="shared" si="5"/>
        <v>0</v>
      </c>
    </row>
    <row r="28" spans="1:11" x14ac:dyDescent="0.2">
      <c r="A28" s="179"/>
      <c r="B28" s="36" t="s">
        <v>15</v>
      </c>
      <c r="C28" s="35" t="s">
        <v>57</v>
      </c>
      <c r="D28" s="71">
        <v>2</v>
      </c>
      <c r="E28" s="38">
        <f t="shared" si="4"/>
        <v>8800000</v>
      </c>
      <c r="F28" s="37">
        <f>+E28*11/100+E28</f>
        <v>9768000</v>
      </c>
      <c r="G28" s="37">
        <f t="shared" si="6"/>
        <v>976800</v>
      </c>
      <c r="H28" s="37">
        <f t="shared" si="7"/>
        <v>185592</v>
      </c>
      <c r="I28" s="38">
        <f t="shared" si="8"/>
        <v>9953592</v>
      </c>
      <c r="J28" s="39">
        <v>0.5</v>
      </c>
      <c r="K28" s="66">
        <f t="shared" si="5"/>
        <v>9953592</v>
      </c>
    </row>
    <row r="29" spans="1:11" x14ac:dyDescent="0.2">
      <c r="A29" s="179"/>
      <c r="B29" s="36" t="s">
        <v>16</v>
      </c>
      <c r="C29" s="35" t="s">
        <v>58</v>
      </c>
      <c r="D29" s="36">
        <v>2</v>
      </c>
      <c r="E29" s="38">
        <f t="shared" si="4"/>
        <v>3152230</v>
      </c>
      <c r="F29" s="37">
        <f>+E29*8/100+E29</f>
        <v>3404408</v>
      </c>
      <c r="G29" s="37">
        <f t="shared" si="6"/>
        <v>340441</v>
      </c>
      <c r="H29" s="37">
        <f t="shared" si="7"/>
        <v>64684</v>
      </c>
      <c r="I29" s="38">
        <f t="shared" si="8"/>
        <v>3469092</v>
      </c>
      <c r="J29" s="39">
        <v>0.5</v>
      </c>
      <c r="K29" s="66">
        <f t="shared" si="5"/>
        <v>3469092</v>
      </c>
    </row>
    <row r="30" spans="1:11" ht="42" x14ac:dyDescent="0.2">
      <c r="A30" s="179"/>
      <c r="B30" s="36" t="s">
        <v>18</v>
      </c>
      <c r="C30" s="35" t="s">
        <v>59</v>
      </c>
      <c r="D30" s="36">
        <v>0</v>
      </c>
      <c r="E30" s="38">
        <f t="shared" si="4"/>
        <v>3196012</v>
      </c>
      <c r="F30" s="37">
        <f>+E30*10/100+E30</f>
        <v>3515613</v>
      </c>
      <c r="G30" s="37">
        <f t="shared" si="6"/>
        <v>351561</v>
      </c>
      <c r="H30" s="37">
        <f t="shared" si="7"/>
        <v>66797</v>
      </c>
      <c r="I30" s="38">
        <f t="shared" si="8"/>
        <v>3582410</v>
      </c>
      <c r="J30" s="39">
        <v>0.5</v>
      </c>
      <c r="K30" s="66">
        <f t="shared" si="5"/>
        <v>0</v>
      </c>
    </row>
    <row r="31" spans="1:11" ht="42" x14ac:dyDescent="0.2">
      <c r="A31" s="179"/>
      <c r="B31" s="36" t="s">
        <v>19</v>
      </c>
      <c r="C31" s="35" t="s">
        <v>60</v>
      </c>
      <c r="D31" s="36">
        <v>1</v>
      </c>
      <c r="E31" s="38">
        <f t="shared" si="4"/>
        <v>3633821</v>
      </c>
      <c r="F31" s="37">
        <f>+E31*8/100+E31</f>
        <v>3924527</v>
      </c>
      <c r="G31" s="37">
        <f t="shared" si="6"/>
        <v>392453</v>
      </c>
      <c r="H31" s="37">
        <f t="shared" si="7"/>
        <v>74566</v>
      </c>
      <c r="I31" s="38">
        <f t="shared" si="8"/>
        <v>3999093</v>
      </c>
      <c r="J31" s="39">
        <v>0.5</v>
      </c>
      <c r="K31" s="66">
        <f t="shared" si="5"/>
        <v>1999547</v>
      </c>
    </row>
    <row r="32" spans="1:11" ht="22" x14ac:dyDescent="0.2">
      <c r="A32" s="179"/>
      <c r="B32" s="36"/>
      <c r="C32" s="40" t="s">
        <v>20</v>
      </c>
      <c r="D32" s="36">
        <v>34</v>
      </c>
      <c r="E32" s="67"/>
      <c r="F32" s="41"/>
      <c r="G32" s="41"/>
      <c r="H32" s="41"/>
      <c r="I32" s="38"/>
      <c r="J32" s="39"/>
      <c r="K32" s="66"/>
    </row>
    <row r="33" spans="1:11" ht="36.75" customHeight="1" x14ac:dyDescent="0.2">
      <c r="A33" s="179"/>
      <c r="B33" s="36" t="s">
        <v>46</v>
      </c>
      <c r="C33" s="43" t="s">
        <v>61</v>
      </c>
      <c r="D33" s="36">
        <v>1</v>
      </c>
      <c r="E33" s="38">
        <f>+E18</f>
        <v>8800000</v>
      </c>
      <c r="F33" s="37">
        <f>+E33*0.08+E33</f>
        <v>9504000</v>
      </c>
      <c r="G33" s="37">
        <f>+F33*10%</f>
        <v>950400</v>
      </c>
      <c r="H33" s="37">
        <f>+G33*0.19</f>
        <v>180576</v>
      </c>
      <c r="I33" s="38">
        <f>F33+H33</f>
        <v>9684576</v>
      </c>
      <c r="J33" s="39">
        <v>0.5</v>
      </c>
      <c r="K33" s="66">
        <f>+D33*I33*J33</f>
        <v>4842288</v>
      </c>
    </row>
    <row r="34" spans="1:11" ht="69.75" customHeight="1" x14ac:dyDescent="0.2">
      <c r="A34" s="179"/>
      <c r="B34" s="36" t="s">
        <v>62</v>
      </c>
      <c r="C34" s="44" t="s">
        <v>63</v>
      </c>
      <c r="D34" s="36">
        <v>1</v>
      </c>
      <c r="E34" s="67">
        <f>+E19</f>
        <v>4719441</v>
      </c>
      <c r="F34" s="38"/>
      <c r="G34" s="38">
        <f>+E34*10/100</f>
        <v>471944</v>
      </c>
      <c r="H34" s="38">
        <f>+G34*0.19</f>
        <v>89669</v>
      </c>
      <c r="I34" s="38">
        <f>+E34+H34</f>
        <v>4809110</v>
      </c>
      <c r="J34" s="39">
        <v>0.5</v>
      </c>
      <c r="K34" s="66">
        <f>+J34*I34</f>
        <v>2404555</v>
      </c>
    </row>
    <row r="35" spans="1:11" s="34" customFormat="1" ht="48.75" customHeight="1" x14ac:dyDescent="0.2">
      <c r="A35" s="179"/>
      <c r="B35" s="69"/>
      <c r="C35" s="69"/>
      <c r="D35" s="69"/>
      <c r="E35" s="186" t="s">
        <v>70</v>
      </c>
      <c r="F35" s="186"/>
      <c r="G35" s="186"/>
      <c r="H35" s="186"/>
      <c r="I35" s="186"/>
      <c r="J35" s="186"/>
      <c r="K35" s="68">
        <f>SUM(K24:K34)</f>
        <v>137968472</v>
      </c>
    </row>
    <row r="36" spans="1:11" x14ac:dyDescent="0.2">
      <c r="E36" s="48"/>
      <c r="F36" s="48"/>
      <c r="G36" s="49"/>
    </row>
    <row r="37" spans="1:11" x14ac:dyDescent="0.2">
      <c r="E37" s="48"/>
      <c r="F37" s="48"/>
      <c r="G37" s="49"/>
    </row>
    <row r="38" spans="1:11" ht="73.5" customHeight="1" x14ac:dyDescent="0.2">
      <c r="A38" s="179">
        <v>3</v>
      </c>
      <c r="B38" s="180" t="s">
        <v>72</v>
      </c>
      <c r="C38" s="180"/>
      <c r="D38" s="180"/>
      <c r="E38" s="187" t="s">
        <v>71</v>
      </c>
      <c r="F38" s="188"/>
      <c r="G38" s="188"/>
      <c r="H38" s="188"/>
      <c r="I38" s="188"/>
      <c r="J38" s="188"/>
      <c r="K38" s="188"/>
    </row>
    <row r="39" spans="1:11" ht="70.5" customHeight="1" x14ac:dyDescent="0.2">
      <c r="A39" s="179"/>
      <c r="B39" s="63" t="s">
        <v>1</v>
      </c>
      <c r="C39" s="40" t="s">
        <v>2</v>
      </c>
      <c r="D39" s="63" t="s">
        <v>3</v>
      </c>
      <c r="E39" s="64" t="s">
        <v>84</v>
      </c>
      <c r="F39" s="64" t="s">
        <v>5</v>
      </c>
      <c r="G39" s="64" t="s">
        <v>6</v>
      </c>
      <c r="H39" s="64" t="s">
        <v>7</v>
      </c>
      <c r="I39" s="64" t="s">
        <v>8</v>
      </c>
      <c r="J39" s="64" t="s">
        <v>9</v>
      </c>
      <c r="K39" s="65" t="s">
        <v>10</v>
      </c>
    </row>
    <row r="40" spans="1:11" x14ac:dyDescent="0.2">
      <c r="A40" s="179"/>
      <c r="B40" s="36" t="s">
        <v>11</v>
      </c>
      <c r="C40" s="35" t="s">
        <v>53</v>
      </c>
      <c r="D40" s="36">
        <v>18</v>
      </c>
      <c r="E40" s="38">
        <f>+E24*1.1</f>
        <v>9680000</v>
      </c>
      <c r="F40" s="37">
        <f>+E40*10/100+E40</f>
        <v>10648000</v>
      </c>
      <c r="G40" s="37">
        <f>+F40*10%</f>
        <v>1064800</v>
      </c>
      <c r="H40" s="37">
        <f>+G40*0.19</f>
        <v>202312</v>
      </c>
      <c r="I40" s="38">
        <f>F40+H40</f>
        <v>10850312</v>
      </c>
      <c r="J40" s="39">
        <v>10</v>
      </c>
      <c r="K40" s="66">
        <f t="shared" ref="K40:K47" si="9">+D40*I40*J40</f>
        <v>1953056160</v>
      </c>
    </row>
    <row r="41" spans="1:11" x14ac:dyDescent="0.2">
      <c r="A41" s="179"/>
      <c r="B41" s="36" t="s">
        <v>12</v>
      </c>
      <c r="C41" s="35" t="s">
        <v>54</v>
      </c>
      <c r="D41" s="36">
        <v>1</v>
      </c>
      <c r="E41" s="38">
        <f t="shared" ref="E41:E50" si="10">+E25*1.1</f>
        <v>9680000</v>
      </c>
      <c r="F41" s="37">
        <f>+E41*8/100+E41</f>
        <v>10454400</v>
      </c>
      <c r="G41" s="37">
        <f t="shared" ref="G41:G47" si="11">+F41*10%</f>
        <v>1045440</v>
      </c>
      <c r="H41" s="37">
        <f t="shared" ref="H41:H47" si="12">+G41*0.19</f>
        <v>198634</v>
      </c>
      <c r="I41" s="38">
        <f t="shared" ref="I41:I47" si="13">F41+H41</f>
        <v>10653034</v>
      </c>
      <c r="J41" s="39">
        <v>10</v>
      </c>
      <c r="K41" s="66">
        <f t="shared" si="9"/>
        <v>106530340</v>
      </c>
    </row>
    <row r="42" spans="1:11" ht="22.5" customHeight="1" x14ac:dyDescent="0.2">
      <c r="A42" s="179"/>
      <c r="B42" s="36" t="s">
        <v>13</v>
      </c>
      <c r="C42" s="35" t="s">
        <v>55</v>
      </c>
      <c r="D42" s="36">
        <v>18</v>
      </c>
      <c r="E42" s="38">
        <f t="shared" si="10"/>
        <v>4334317</v>
      </c>
      <c r="F42" s="37">
        <f>+E42*8/100+E42</f>
        <v>4681062</v>
      </c>
      <c r="G42" s="37">
        <f t="shared" si="11"/>
        <v>468106</v>
      </c>
      <c r="H42" s="37">
        <f t="shared" si="12"/>
        <v>88940</v>
      </c>
      <c r="I42" s="38">
        <f t="shared" si="13"/>
        <v>4770002</v>
      </c>
      <c r="J42" s="39">
        <v>10</v>
      </c>
      <c r="K42" s="66">
        <f t="shared" si="9"/>
        <v>858600360</v>
      </c>
    </row>
    <row r="43" spans="1:11" ht="32.25" customHeight="1" x14ac:dyDescent="0.2">
      <c r="A43" s="179"/>
      <c r="B43" s="36" t="s">
        <v>14</v>
      </c>
      <c r="C43" s="35" t="s">
        <v>56</v>
      </c>
      <c r="D43" s="36">
        <v>2</v>
      </c>
      <c r="E43" s="38">
        <f t="shared" si="10"/>
        <v>2889545</v>
      </c>
      <c r="F43" s="37">
        <f>+E43*8/100+E43</f>
        <v>3120709</v>
      </c>
      <c r="G43" s="37">
        <f t="shared" si="11"/>
        <v>312071</v>
      </c>
      <c r="H43" s="37">
        <f t="shared" si="12"/>
        <v>59293</v>
      </c>
      <c r="I43" s="38">
        <f t="shared" si="13"/>
        <v>3180002</v>
      </c>
      <c r="J43" s="39">
        <v>10</v>
      </c>
      <c r="K43" s="66">
        <f t="shared" si="9"/>
        <v>63600040</v>
      </c>
    </row>
    <row r="44" spans="1:11" x14ac:dyDescent="0.2">
      <c r="A44" s="179"/>
      <c r="B44" s="36" t="s">
        <v>15</v>
      </c>
      <c r="C44" s="35" t="s">
        <v>57</v>
      </c>
      <c r="D44" s="36">
        <v>2</v>
      </c>
      <c r="E44" s="38">
        <f t="shared" si="10"/>
        <v>9680000</v>
      </c>
      <c r="F44" s="37">
        <f>+E44*11/100+E44</f>
        <v>10744800</v>
      </c>
      <c r="G44" s="37">
        <f t="shared" si="11"/>
        <v>1074480</v>
      </c>
      <c r="H44" s="37">
        <f t="shared" si="12"/>
        <v>204151</v>
      </c>
      <c r="I44" s="38">
        <f t="shared" si="13"/>
        <v>10948951</v>
      </c>
      <c r="J44" s="39">
        <v>10</v>
      </c>
      <c r="K44" s="66">
        <f t="shared" si="9"/>
        <v>218979020</v>
      </c>
    </row>
    <row r="45" spans="1:11" ht="29.25" customHeight="1" x14ac:dyDescent="0.2">
      <c r="A45" s="179"/>
      <c r="B45" s="36" t="s">
        <v>16</v>
      </c>
      <c r="C45" s="35" t="s">
        <v>58</v>
      </c>
      <c r="D45" s="36">
        <v>3</v>
      </c>
      <c r="E45" s="38">
        <f t="shared" si="10"/>
        <v>3467453</v>
      </c>
      <c r="F45" s="37">
        <f>+E45*8/100+E45</f>
        <v>3744849</v>
      </c>
      <c r="G45" s="37">
        <f t="shared" si="11"/>
        <v>374485</v>
      </c>
      <c r="H45" s="37">
        <f t="shared" si="12"/>
        <v>71152</v>
      </c>
      <c r="I45" s="38">
        <f t="shared" si="13"/>
        <v>3816001</v>
      </c>
      <c r="J45" s="39">
        <v>10</v>
      </c>
      <c r="K45" s="66">
        <f t="shared" si="9"/>
        <v>114480030</v>
      </c>
    </row>
    <row r="46" spans="1:11" ht="42" x14ac:dyDescent="0.2">
      <c r="A46" s="179"/>
      <c r="B46" s="36" t="s">
        <v>18</v>
      </c>
      <c r="C46" s="35" t="s">
        <v>59</v>
      </c>
      <c r="D46" s="36">
        <v>1</v>
      </c>
      <c r="E46" s="38">
        <f t="shared" si="10"/>
        <v>3515613</v>
      </c>
      <c r="F46" s="37">
        <f>+E46*10/100+E46</f>
        <v>3867174</v>
      </c>
      <c r="G46" s="37">
        <f t="shared" si="11"/>
        <v>386717</v>
      </c>
      <c r="H46" s="37">
        <f t="shared" si="12"/>
        <v>73476</v>
      </c>
      <c r="I46" s="38">
        <f t="shared" si="13"/>
        <v>3940650</v>
      </c>
      <c r="J46" s="39">
        <v>10</v>
      </c>
      <c r="K46" s="66">
        <f t="shared" si="9"/>
        <v>39406500</v>
      </c>
    </row>
    <row r="47" spans="1:11" ht="42" x14ac:dyDescent="0.2">
      <c r="A47" s="179"/>
      <c r="B47" s="36" t="s">
        <v>19</v>
      </c>
      <c r="C47" s="35" t="s">
        <v>60</v>
      </c>
      <c r="D47" s="36">
        <v>1</v>
      </c>
      <c r="E47" s="38">
        <f t="shared" si="10"/>
        <v>3997203</v>
      </c>
      <c r="F47" s="37">
        <f>+E47*8/100+E47</f>
        <v>4316979</v>
      </c>
      <c r="G47" s="37">
        <f t="shared" si="11"/>
        <v>431698</v>
      </c>
      <c r="H47" s="37">
        <f t="shared" si="12"/>
        <v>82023</v>
      </c>
      <c r="I47" s="38">
        <f t="shared" si="13"/>
        <v>4399002</v>
      </c>
      <c r="J47" s="39">
        <v>10</v>
      </c>
      <c r="K47" s="66">
        <f t="shared" si="9"/>
        <v>43990020</v>
      </c>
    </row>
    <row r="48" spans="1:11" ht="39" customHeight="1" x14ac:dyDescent="0.2">
      <c r="A48" s="179"/>
      <c r="B48" s="36"/>
      <c r="C48" s="40" t="s">
        <v>20</v>
      </c>
      <c r="D48" s="36">
        <v>46</v>
      </c>
      <c r="E48" s="38"/>
      <c r="F48" s="41"/>
      <c r="G48" s="41"/>
      <c r="H48" s="41"/>
      <c r="I48" s="38"/>
      <c r="J48" s="39"/>
      <c r="K48" s="66"/>
    </row>
    <row r="49" spans="1:11" ht="35.25" customHeight="1" x14ac:dyDescent="0.2">
      <c r="A49" s="179"/>
      <c r="B49" s="36" t="s">
        <v>46</v>
      </c>
      <c r="C49" s="43" t="s">
        <v>61</v>
      </c>
      <c r="D49" s="36">
        <v>1</v>
      </c>
      <c r="E49" s="38">
        <f t="shared" si="10"/>
        <v>9680000</v>
      </c>
      <c r="F49" s="37">
        <f>+E49*0.08+E49</f>
        <v>10454400</v>
      </c>
      <c r="G49" s="37">
        <f>+F49*10%</f>
        <v>1045440</v>
      </c>
      <c r="H49" s="37">
        <f>+G49*0.19</f>
        <v>198634</v>
      </c>
      <c r="I49" s="38">
        <f>F49+H49</f>
        <v>10653034</v>
      </c>
      <c r="J49" s="39">
        <v>10</v>
      </c>
      <c r="K49" s="66">
        <f>+I49*J49</f>
        <v>106530340</v>
      </c>
    </row>
    <row r="50" spans="1:11" ht="50.25" customHeight="1" x14ac:dyDescent="0.2">
      <c r="A50" s="179"/>
      <c r="B50" s="36" t="s">
        <v>62</v>
      </c>
      <c r="C50" s="44" t="s">
        <v>63</v>
      </c>
      <c r="D50" s="36">
        <v>1</v>
      </c>
      <c r="E50" s="38">
        <f t="shared" si="10"/>
        <v>5191385</v>
      </c>
      <c r="F50" s="38"/>
      <c r="G50" s="38">
        <f>+E50*10/100</f>
        <v>519139</v>
      </c>
      <c r="H50" s="38">
        <f>+G50*0.19</f>
        <v>98636</v>
      </c>
      <c r="I50" s="38">
        <f>+E50+H50</f>
        <v>5290021</v>
      </c>
      <c r="J50" s="39">
        <v>10</v>
      </c>
      <c r="K50" s="66">
        <f>+I50*J50</f>
        <v>52900210</v>
      </c>
    </row>
    <row r="51" spans="1:11" s="50" customFormat="1" ht="38.25" customHeight="1" x14ac:dyDescent="0.2">
      <c r="A51" s="179"/>
      <c r="B51" s="69"/>
      <c r="C51" s="69"/>
      <c r="D51" s="69"/>
      <c r="E51" s="182" t="s">
        <v>77</v>
      </c>
      <c r="F51" s="182"/>
      <c r="G51" s="182"/>
      <c r="H51" s="182"/>
      <c r="I51" s="182"/>
      <c r="J51" s="182"/>
      <c r="K51" s="72">
        <f>SUM(K40:K50)</f>
        <v>3558073020</v>
      </c>
    </row>
    <row r="52" spans="1:11" x14ac:dyDescent="0.2">
      <c r="G52" s="33"/>
    </row>
    <row r="53" spans="1:11" ht="94.5" customHeight="1" x14ac:dyDescent="0.2">
      <c r="A53" s="179">
        <v>4</v>
      </c>
      <c r="B53" s="180" t="s">
        <v>73</v>
      </c>
      <c r="C53" s="180"/>
      <c r="D53" s="180"/>
      <c r="E53" s="187" t="s">
        <v>85</v>
      </c>
      <c r="F53" s="188"/>
      <c r="G53" s="188"/>
      <c r="H53" s="188"/>
      <c r="I53" s="188"/>
      <c r="J53" s="188"/>
      <c r="K53" s="188"/>
    </row>
    <row r="54" spans="1:11" ht="76.5" customHeight="1" x14ac:dyDescent="0.2">
      <c r="A54" s="179"/>
      <c r="B54" s="63" t="s">
        <v>1</v>
      </c>
      <c r="C54" s="40" t="s">
        <v>2</v>
      </c>
      <c r="D54" s="63" t="s">
        <v>3</v>
      </c>
      <c r="E54" s="64" t="s">
        <v>84</v>
      </c>
      <c r="F54" s="64" t="s">
        <v>5</v>
      </c>
      <c r="G54" s="64" t="s">
        <v>6</v>
      </c>
      <c r="H54" s="64" t="s">
        <v>7</v>
      </c>
      <c r="I54" s="64" t="s">
        <v>8</v>
      </c>
      <c r="J54" s="64" t="s">
        <v>9</v>
      </c>
      <c r="K54" s="65" t="s">
        <v>10</v>
      </c>
    </row>
    <row r="55" spans="1:11" x14ac:dyDescent="0.2">
      <c r="A55" s="179"/>
      <c r="B55" s="36" t="s">
        <v>11</v>
      </c>
      <c r="C55" s="35" t="s">
        <v>53</v>
      </c>
      <c r="D55" s="36">
        <v>18</v>
      </c>
      <c r="E55" s="38">
        <f t="shared" ref="E55:E62" si="14">+E40</f>
        <v>9680000</v>
      </c>
      <c r="F55" s="37">
        <f>+E55*10/100+E55</f>
        <v>10648000</v>
      </c>
      <c r="G55" s="37">
        <f>+F55*10%</f>
        <v>1064800</v>
      </c>
      <c r="H55" s="37">
        <f>+G55*0.19</f>
        <v>202312</v>
      </c>
      <c r="I55" s="38">
        <f>F55+H55</f>
        <v>10850312</v>
      </c>
      <c r="J55" s="39">
        <v>2</v>
      </c>
      <c r="K55" s="66">
        <f t="shared" ref="K55:K62" si="15">+D55*I55*J55</f>
        <v>390611232</v>
      </c>
    </row>
    <row r="56" spans="1:11" x14ac:dyDescent="0.2">
      <c r="A56" s="179"/>
      <c r="B56" s="36" t="s">
        <v>12</v>
      </c>
      <c r="C56" s="35" t="s">
        <v>54</v>
      </c>
      <c r="D56" s="36">
        <v>1</v>
      </c>
      <c r="E56" s="38">
        <f t="shared" si="14"/>
        <v>9680000</v>
      </c>
      <c r="F56" s="37">
        <f>+E56*8/100+E56</f>
        <v>10454400</v>
      </c>
      <c r="G56" s="37">
        <f t="shared" ref="G56:G62" si="16">+F56*10%</f>
        <v>1045440</v>
      </c>
      <c r="H56" s="37">
        <f t="shared" ref="H56:H62" si="17">+G56*0.19</f>
        <v>198634</v>
      </c>
      <c r="I56" s="38">
        <f t="shared" ref="I56:I62" si="18">F56+H56</f>
        <v>10653034</v>
      </c>
      <c r="J56" s="39">
        <v>2</v>
      </c>
      <c r="K56" s="66">
        <f t="shared" si="15"/>
        <v>21306068</v>
      </c>
    </row>
    <row r="57" spans="1:11" x14ac:dyDescent="0.2">
      <c r="A57" s="179"/>
      <c r="B57" s="36" t="s">
        <v>13</v>
      </c>
      <c r="C57" s="35" t="s">
        <v>55</v>
      </c>
      <c r="D57" s="36">
        <v>10</v>
      </c>
      <c r="E57" s="38">
        <f t="shared" si="14"/>
        <v>4334317</v>
      </c>
      <c r="F57" s="37">
        <f>+E57*8/100+E57</f>
        <v>4681062</v>
      </c>
      <c r="G57" s="37">
        <f t="shared" si="16"/>
        <v>468106</v>
      </c>
      <c r="H57" s="37">
        <f t="shared" si="17"/>
        <v>88940</v>
      </c>
      <c r="I57" s="38">
        <f t="shared" si="18"/>
        <v>4770002</v>
      </c>
      <c r="J57" s="39">
        <v>2</v>
      </c>
      <c r="K57" s="66">
        <f t="shared" si="15"/>
        <v>95400040</v>
      </c>
    </row>
    <row r="58" spans="1:11" x14ac:dyDescent="0.2">
      <c r="A58" s="179"/>
      <c r="B58" s="36" t="s">
        <v>14</v>
      </c>
      <c r="C58" s="35" t="s">
        <v>56</v>
      </c>
      <c r="D58" s="36">
        <v>0</v>
      </c>
      <c r="E58" s="38">
        <f t="shared" si="14"/>
        <v>2889545</v>
      </c>
      <c r="F58" s="37">
        <f>+E58*8/100+E58</f>
        <v>3120709</v>
      </c>
      <c r="G58" s="37">
        <f t="shared" si="16"/>
        <v>312071</v>
      </c>
      <c r="H58" s="37">
        <f t="shared" si="17"/>
        <v>59293</v>
      </c>
      <c r="I58" s="38">
        <f t="shared" si="18"/>
        <v>3180002</v>
      </c>
      <c r="J58" s="39">
        <v>2</v>
      </c>
      <c r="K58" s="66">
        <f t="shared" si="15"/>
        <v>0</v>
      </c>
    </row>
    <row r="59" spans="1:11" x14ac:dyDescent="0.2">
      <c r="A59" s="179"/>
      <c r="B59" s="36" t="s">
        <v>15</v>
      </c>
      <c r="C59" s="35" t="s">
        <v>57</v>
      </c>
      <c r="D59" s="36">
        <v>2</v>
      </c>
      <c r="E59" s="38">
        <f t="shared" si="14"/>
        <v>9680000</v>
      </c>
      <c r="F59" s="37">
        <f>+E59*11/100+E59</f>
        <v>10744800</v>
      </c>
      <c r="G59" s="37">
        <f t="shared" si="16"/>
        <v>1074480</v>
      </c>
      <c r="H59" s="37">
        <f t="shared" si="17"/>
        <v>204151</v>
      </c>
      <c r="I59" s="38">
        <f t="shared" si="18"/>
        <v>10948951</v>
      </c>
      <c r="J59" s="39">
        <v>2</v>
      </c>
      <c r="K59" s="66">
        <f t="shared" si="15"/>
        <v>43795804</v>
      </c>
    </row>
    <row r="60" spans="1:11" x14ac:dyDescent="0.2">
      <c r="A60" s="179"/>
      <c r="B60" s="36" t="s">
        <v>16</v>
      </c>
      <c r="C60" s="35" t="s">
        <v>58</v>
      </c>
      <c r="D60" s="36">
        <v>2</v>
      </c>
      <c r="E60" s="38">
        <f t="shared" si="14"/>
        <v>3467453</v>
      </c>
      <c r="F60" s="37">
        <f>+E60*8/100+E60</f>
        <v>3744849</v>
      </c>
      <c r="G60" s="37">
        <f t="shared" si="16"/>
        <v>374485</v>
      </c>
      <c r="H60" s="37">
        <f t="shared" si="17"/>
        <v>71152</v>
      </c>
      <c r="I60" s="38">
        <f t="shared" si="18"/>
        <v>3816001</v>
      </c>
      <c r="J60" s="39">
        <v>2</v>
      </c>
      <c r="K60" s="66">
        <f t="shared" si="15"/>
        <v>15264004</v>
      </c>
    </row>
    <row r="61" spans="1:11" ht="42" x14ac:dyDescent="0.2">
      <c r="A61" s="179"/>
      <c r="B61" s="36" t="s">
        <v>18</v>
      </c>
      <c r="C61" s="35" t="s">
        <v>59</v>
      </c>
      <c r="D61" s="36">
        <v>0</v>
      </c>
      <c r="E61" s="38">
        <f t="shared" si="14"/>
        <v>3515613</v>
      </c>
      <c r="F61" s="37">
        <f>+E61*10/100+E61</f>
        <v>3867174</v>
      </c>
      <c r="G61" s="37">
        <f t="shared" si="16"/>
        <v>386717</v>
      </c>
      <c r="H61" s="37">
        <f t="shared" si="17"/>
        <v>73476</v>
      </c>
      <c r="I61" s="38">
        <f t="shared" si="18"/>
        <v>3940650</v>
      </c>
      <c r="J61" s="39">
        <v>2</v>
      </c>
      <c r="K61" s="66">
        <f t="shared" si="15"/>
        <v>0</v>
      </c>
    </row>
    <row r="62" spans="1:11" ht="42" x14ac:dyDescent="0.2">
      <c r="A62" s="179"/>
      <c r="B62" s="36" t="s">
        <v>19</v>
      </c>
      <c r="C62" s="35" t="s">
        <v>60</v>
      </c>
      <c r="D62" s="36">
        <v>1</v>
      </c>
      <c r="E62" s="38">
        <f t="shared" si="14"/>
        <v>3997203</v>
      </c>
      <c r="F62" s="37">
        <f>+E62*8/100+E62</f>
        <v>4316979</v>
      </c>
      <c r="G62" s="37">
        <f t="shared" si="16"/>
        <v>431698</v>
      </c>
      <c r="H62" s="37">
        <f t="shared" si="17"/>
        <v>82023</v>
      </c>
      <c r="I62" s="38">
        <f t="shared" si="18"/>
        <v>4399002</v>
      </c>
      <c r="J62" s="39">
        <v>2</v>
      </c>
      <c r="K62" s="66">
        <f t="shared" si="15"/>
        <v>8798004</v>
      </c>
    </row>
    <row r="63" spans="1:11" ht="30" customHeight="1" x14ac:dyDescent="0.2">
      <c r="A63" s="179"/>
      <c r="B63" s="36"/>
      <c r="C63" s="40" t="s">
        <v>20</v>
      </c>
      <c r="D63" s="36">
        <v>34</v>
      </c>
      <c r="E63" s="38"/>
      <c r="F63" s="41"/>
      <c r="G63" s="41"/>
      <c r="H63" s="41"/>
      <c r="I63" s="38"/>
      <c r="J63" s="42"/>
      <c r="K63" s="66"/>
    </row>
    <row r="64" spans="1:11" ht="38.25" customHeight="1" x14ac:dyDescent="0.2">
      <c r="A64" s="179"/>
      <c r="B64" s="36" t="s">
        <v>46</v>
      </c>
      <c r="C64" s="43" t="s">
        <v>61</v>
      </c>
      <c r="D64" s="36">
        <v>1</v>
      </c>
      <c r="E64" s="38">
        <f>+E49</f>
        <v>9680000</v>
      </c>
      <c r="F64" s="37">
        <f>+E64*0.08+E64</f>
        <v>10454400</v>
      </c>
      <c r="G64" s="37">
        <f>+F64*10%</f>
        <v>1045440</v>
      </c>
      <c r="H64" s="37">
        <f>+G64*0.19</f>
        <v>198634</v>
      </c>
      <c r="I64" s="38">
        <f>F64+H64</f>
        <v>10653034</v>
      </c>
      <c r="J64" s="39">
        <v>2</v>
      </c>
      <c r="K64" s="66">
        <f>+I64*J64</f>
        <v>21306068</v>
      </c>
    </row>
    <row r="65" spans="1:11" ht="78.75" customHeight="1" x14ac:dyDescent="0.2">
      <c r="A65" s="179"/>
      <c r="B65" s="36" t="s">
        <v>62</v>
      </c>
      <c r="C65" s="44" t="s">
        <v>63</v>
      </c>
      <c r="D65" s="36">
        <v>1</v>
      </c>
      <c r="E65" s="38">
        <f>+E50</f>
        <v>5191385</v>
      </c>
      <c r="F65" s="38"/>
      <c r="G65" s="38">
        <f>+E65*10/100</f>
        <v>519139</v>
      </c>
      <c r="H65" s="38">
        <f>+G65*0.19</f>
        <v>98636</v>
      </c>
      <c r="I65" s="38">
        <f>+E65+H65</f>
        <v>5290021</v>
      </c>
      <c r="J65" s="39">
        <v>2</v>
      </c>
      <c r="K65" s="66">
        <f>+I65*J65</f>
        <v>10580042</v>
      </c>
    </row>
    <row r="66" spans="1:11" s="50" customFormat="1" ht="38.25" customHeight="1" x14ac:dyDescent="0.2">
      <c r="A66" s="179"/>
      <c r="B66" s="69"/>
      <c r="C66" s="69"/>
      <c r="D66" s="69"/>
      <c r="E66" s="182" t="s">
        <v>77</v>
      </c>
      <c r="F66" s="182"/>
      <c r="G66" s="182"/>
      <c r="H66" s="182"/>
      <c r="I66" s="182"/>
      <c r="J66" s="182"/>
      <c r="K66" s="72">
        <f>SUM(K55:K65)</f>
        <v>607061262</v>
      </c>
    </row>
    <row r="67" spans="1:11" x14ac:dyDescent="0.2">
      <c r="E67" s="48"/>
      <c r="F67" s="48"/>
      <c r="G67" s="49"/>
    </row>
    <row r="68" spans="1:11" x14ac:dyDescent="0.2">
      <c r="B68" s="178"/>
      <c r="C68" s="178"/>
      <c r="D68" s="178"/>
      <c r="E68" s="48"/>
      <c r="F68" s="48"/>
      <c r="G68" s="49"/>
    </row>
    <row r="69" spans="1:11" ht="60" customHeight="1" x14ac:dyDescent="0.2">
      <c r="A69" s="179">
        <v>3</v>
      </c>
      <c r="B69" s="180" t="s">
        <v>75</v>
      </c>
      <c r="C69" s="180"/>
      <c r="D69" s="180"/>
      <c r="E69" s="189" t="s">
        <v>80</v>
      </c>
      <c r="F69" s="190"/>
      <c r="G69" s="190"/>
      <c r="H69" s="190"/>
      <c r="I69" s="190"/>
      <c r="J69" s="190"/>
      <c r="K69" s="190"/>
    </row>
    <row r="70" spans="1:11" ht="105" customHeight="1" x14ac:dyDescent="0.2">
      <c r="A70" s="179"/>
      <c r="B70" s="63" t="s">
        <v>1</v>
      </c>
      <c r="C70" s="40" t="s">
        <v>2</v>
      </c>
      <c r="D70" s="63" t="s">
        <v>3</v>
      </c>
      <c r="E70" s="64" t="s">
        <v>83</v>
      </c>
      <c r="F70" s="64" t="s">
        <v>5</v>
      </c>
      <c r="G70" s="64" t="s">
        <v>6</v>
      </c>
      <c r="H70" s="64" t="s">
        <v>7</v>
      </c>
      <c r="I70" s="64" t="s">
        <v>8</v>
      </c>
      <c r="J70" s="64" t="s">
        <v>9</v>
      </c>
      <c r="K70" s="65" t="s">
        <v>10</v>
      </c>
    </row>
    <row r="71" spans="1:11" x14ac:dyDescent="0.2">
      <c r="A71" s="179"/>
      <c r="B71" s="36" t="s">
        <v>11</v>
      </c>
      <c r="C71" s="35" t="s">
        <v>53</v>
      </c>
      <c r="D71" s="36">
        <v>18</v>
      </c>
      <c r="E71" s="38">
        <f>+E55*1.1</f>
        <v>10648000</v>
      </c>
      <c r="F71" s="37">
        <f>+E71*10/100+E71</f>
        <v>11712800</v>
      </c>
      <c r="G71" s="37">
        <f>+F71*10%</f>
        <v>1171280</v>
      </c>
      <c r="H71" s="37">
        <f>+G71*0.19</f>
        <v>222543</v>
      </c>
      <c r="I71" s="38">
        <f>F71+H71</f>
        <v>11935343</v>
      </c>
      <c r="J71" s="39">
        <v>10</v>
      </c>
      <c r="K71" s="66">
        <f t="shared" ref="K71:K78" si="19">+D71*I71*J71</f>
        <v>2148361740</v>
      </c>
    </row>
    <row r="72" spans="1:11" x14ac:dyDescent="0.2">
      <c r="A72" s="179"/>
      <c r="B72" s="36" t="s">
        <v>12</v>
      </c>
      <c r="C72" s="35" t="s">
        <v>54</v>
      </c>
      <c r="D72" s="36">
        <v>1</v>
      </c>
      <c r="E72" s="38">
        <f t="shared" ref="E72:E80" si="20">+E56*1.1</f>
        <v>10648000</v>
      </c>
      <c r="F72" s="37">
        <f>+E72*8/100+E72</f>
        <v>11499840</v>
      </c>
      <c r="G72" s="37">
        <f t="shared" ref="G72:G78" si="21">+F72*10%</f>
        <v>1149984</v>
      </c>
      <c r="H72" s="37">
        <f t="shared" ref="H72:H78" si="22">+G72*0.19</f>
        <v>218497</v>
      </c>
      <c r="I72" s="38">
        <f t="shared" ref="I72:I78" si="23">F72+H72</f>
        <v>11718337</v>
      </c>
      <c r="J72" s="39">
        <v>10</v>
      </c>
      <c r="K72" s="66">
        <f t="shared" si="19"/>
        <v>117183370</v>
      </c>
    </row>
    <row r="73" spans="1:11" ht="29.25" customHeight="1" x14ac:dyDescent="0.2">
      <c r="A73" s="179"/>
      <c r="B73" s="36" t="s">
        <v>13</v>
      </c>
      <c r="C73" s="35" t="s">
        <v>55</v>
      </c>
      <c r="D73" s="36">
        <v>18</v>
      </c>
      <c r="E73" s="38">
        <f t="shared" si="20"/>
        <v>4767749</v>
      </c>
      <c r="F73" s="37">
        <f>+E73*8/100+E73</f>
        <v>5149169</v>
      </c>
      <c r="G73" s="37">
        <f t="shared" si="21"/>
        <v>514917</v>
      </c>
      <c r="H73" s="37">
        <f t="shared" si="22"/>
        <v>97834</v>
      </c>
      <c r="I73" s="38">
        <f t="shared" si="23"/>
        <v>5247003</v>
      </c>
      <c r="J73" s="39">
        <v>10</v>
      </c>
      <c r="K73" s="66">
        <f t="shared" si="19"/>
        <v>944460540</v>
      </c>
    </row>
    <row r="74" spans="1:11" ht="28.5" customHeight="1" x14ac:dyDescent="0.2">
      <c r="A74" s="179"/>
      <c r="B74" s="36" t="s">
        <v>14</v>
      </c>
      <c r="C74" s="35" t="s">
        <v>56</v>
      </c>
      <c r="D74" s="36">
        <v>2</v>
      </c>
      <c r="E74" s="38">
        <f t="shared" si="20"/>
        <v>3178500</v>
      </c>
      <c r="F74" s="37">
        <f>+E74*8/100+E74</f>
        <v>3432780</v>
      </c>
      <c r="G74" s="37">
        <f t="shared" si="21"/>
        <v>343278</v>
      </c>
      <c r="H74" s="37">
        <f t="shared" si="22"/>
        <v>65223</v>
      </c>
      <c r="I74" s="38">
        <f t="shared" si="23"/>
        <v>3498003</v>
      </c>
      <c r="J74" s="39">
        <v>10</v>
      </c>
      <c r="K74" s="66">
        <f t="shared" si="19"/>
        <v>69960060</v>
      </c>
    </row>
    <row r="75" spans="1:11" x14ac:dyDescent="0.2">
      <c r="A75" s="179"/>
      <c r="B75" s="36" t="s">
        <v>15</v>
      </c>
      <c r="C75" s="35" t="s">
        <v>57</v>
      </c>
      <c r="D75" s="36">
        <v>2</v>
      </c>
      <c r="E75" s="38">
        <f t="shared" si="20"/>
        <v>10648000</v>
      </c>
      <c r="F75" s="37">
        <f>+E75*11/100+E75</f>
        <v>11819280</v>
      </c>
      <c r="G75" s="37">
        <f t="shared" si="21"/>
        <v>1181928</v>
      </c>
      <c r="H75" s="37">
        <f t="shared" si="22"/>
        <v>224566</v>
      </c>
      <c r="I75" s="38">
        <f t="shared" si="23"/>
        <v>12043846</v>
      </c>
      <c r="J75" s="39">
        <v>10</v>
      </c>
      <c r="K75" s="66">
        <f t="shared" si="19"/>
        <v>240876920</v>
      </c>
    </row>
    <row r="76" spans="1:11" x14ac:dyDescent="0.2">
      <c r="A76" s="179"/>
      <c r="B76" s="36" t="s">
        <v>16</v>
      </c>
      <c r="C76" s="35" t="s">
        <v>58</v>
      </c>
      <c r="D76" s="36">
        <v>3</v>
      </c>
      <c r="E76" s="38">
        <f t="shared" si="20"/>
        <v>3814198</v>
      </c>
      <c r="F76" s="37">
        <f>+E76*8/100+E76</f>
        <v>4119334</v>
      </c>
      <c r="G76" s="37">
        <f t="shared" si="21"/>
        <v>411933</v>
      </c>
      <c r="H76" s="37">
        <f t="shared" si="22"/>
        <v>78267</v>
      </c>
      <c r="I76" s="38">
        <f t="shared" si="23"/>
        <v>4197601</v>
      </c>
      <c r="J76" s="39">
        <v>10</v>
      </c>
      <c r="K76" s="66">
        <f t="shared" si="19"/>
        <v>125928030</v>
      </c>
    </row>
    <row r="77" spans="1:11" ht="42" x14ac:dyDescent="0.2">
      <c r="A77" s="179"/>
      <c r="B77" s="36" t="s">
        <v>18</v>
      </c>
      <c r="C77" s="35" t="s">
        <v>59</v>
      </c>
      <c r="D77" s="36">
        <v>1</v>
      </c>
      <c r="E77" s="38">
        <f t="shared" si="20"/>
        <v>3867174</v>
      </c>
      <c r="F77" s="37">
        <f>+E77*10/100+E77</f>
        <v>4253891</v>
      </c>
      <c r="G77" s="37">
        <f t="shared" si="21"/>
        <v>425389</v>
      </c>
      <c r="H77" s="37">
        <f t="shared" si="22"/>
        <v>80824</v>
      </c>
      <c r="I77" s="38">
        <f t="shared" si="23"/>
        <v>4334715</v>
      </c>
      <c r="J77" s="39">
        <v>10</v>
      </c>
      <c r="K77" s="66">
        <f t="shared" si="19"/>
        <v>43347150</v>
      </c>
    </row>
    <row r="78" spans="1:11" ht="42" x14ac:dyDescent="0.2">
      <c r="A78" s="179"/>
      <c r="B78" s="36" t="s">
        <v>19</v>
      </c>
      <c r="C78" s="35" t="s">
        <v>60</v>
      </c>
      <c r="D78" s="36">
        <v>1</v>
      </c>
      <c r="E78" s="38">
        <f t="shared" si="20"/>
        <v>4396923</v>
      </c>
      <c r="F78" s="37">
        <f>+E78*8/100+E78</f>
        <v>4748677</v>
      </c>
      <c r="G78" s="37">
        <f t="shared" si="21"/>
        <v>474868</v>
      </c>
      <c r="H78" s="37">
        <f t="shared" si="22"/>
        <v>90225</v>
      </c>
      <c r="I78" s="38">
        <f t="shared" si="23"/>
        <v>4838902</v>
      </c>
      <c r="J78" s="39">
        <v>10</v>
      </c>
      <c r="K78" s="66">
        <f t="shared" si="19"/>
        <v>48389020</v>
      </c>
    </row>
    <row r="79" spans="1:11" ht="22" x14ac:dyDescent="0.2">
      <c r="A79" s="179"/>
      <c r="B79" s="36"/>
      <c r="C79" s="40" t="s">
        <v>20</v>
      </c>
      <c r="D79" s="36">
        <v>46</v>
      </c>
      <c r="E79" s="38">
        <f t="shared" si="20"/>
        <v>0</v>
      </c>
      <c r="F79" s="41"/>
      <c r="G79" s="41"/>
      <c r="H79" s="41"/>
      <c r="I79" s="38"/>
      <c r="J79" s="42"/>
      <c r="K79" s="66"/>
    </row>
    <row r="80" spans="1:11" ht="28.5" customHeight="1" x14ac:dyDescent="0.2">
      <c r="A80" s="179"/>
      <c r="B80" s="36" t="s">
        <v>46</v>
      </c>
      <c r="C80" s="43" t="s">
        <v>61</v>
      </c>
      <c r="D80" s="36">
        <v>1</v>
      </c>
      <c r="E80" s="38">
        <f t="shared" si="20"/>
        <v>10648000</v>
      </c>
      <c r="F80" s="37">
        <f>+E80*0.08+E80</f>
        <v>11499840</v>
      </c>
      <c r="G80" s="37">
        <f>+F80*10%</f>
        <v>1149984</v>
      </c>
      <c r="H80" s="37">
        <f>+G80*0.19</f>
        <v>218497</v>
      </c>
      <c r="I80" s="38">
        <f>F80+H80</f>
        <v>11718337</v>
      </c>
      <c r="J80" s="39">
        <v>10</v>
      </c>
      <c r="K80" s="66">
        <f>+I80*J80</f>
        <v>117183370</v>
      </c>
    </row>
    <row r="81" spans="1:11" ht="51.75" customHeight="1" x14ac:dyDescent="0.2">
      <c r="A81" s="179"/>
      <c r="B81" s="36" t="s">
        <v>62</v>
      </c>
      <c r="C81" s="44" t="s">
        <v>63</v>
      </c>
      <c r="D81" s="36">
        <v>1</v>
      </c>
      <c r="E81" s="38">
        <f>+E65*1.1</f>
        <v>5710524</v>
      </c>
      <c r="F81" s="38"/>
      <c r="G81" s="38">
        <f>+E81*10/100</f>
        <v>571052</v>
      </c>
      <c r="H81" s="38">
        <f>+G81*0.19</f>
        <v>108500</v>
      </c>
      <c r="I81" s="38">
        <f>+E81+H81</f>
        <v>5819024</v>
      </c>
      <c r="J81" s="39">
        <v>10</v>
      </c>
      <c r="K81" s="66">
        <f>+I81*J81</f>
        <v>58190240</v>
      </c>
    </row>
    <row r="82" spans="1:11" s="50" customFormat="1" ht="38.25" customHeight="1" x14ac:dyDescent="0.2">
      <c r="A82" s="179"/>
      <c r="B82" s="69"/>
      <c r="C82" s="69"/>
      <c r="D82" s="69"/>
      <c r="E82" s="182" t="s">
        <v>77</v>
      </c>
      <c r="F82" s="182"/>
      <c r="G82" s="182"/>
      <c r="H82" s="182"/>
      <c r="I82" s="182"/>
      <c r="J82" s="182"/>
      <c r="K82" s="73">
        <f>SUM(K71:K81)</f>
        <v>3913880440</v>
      </c>
    </row>
    <row r="83" spans="1:11" x14ac:dyDescent="0.2">
      <c r="E83" s="48"/>
      <c r="F83" s="48"/>
      <c r="G83" s="49"/>
    </row>
    <row r="84" spans="1:11" ht="63.75" customHeight="1" x14ac:dyDescent="0.2">
      <c r="A84" s="179">
        <v>4</v>
      </c>
      <c r="B84" s="180" t="s">
        <v>76</v>
      </c>
      <c r="C84" s="180"/>
      <c r="D84" s="180"/>
      <c r="E84" s="189" t="s">
        <v>86</v>
      </c>
      <c r="F84" s="190"/>
      <c r="G84" s="190"/>
      <c r="H84" s="190"/>
      <c r="I84" s="190"/>
      <c r="J84" s="190"/>
      <c r="K84" s="190"/>
    </row>
    <row r="85" spans="1:11" ht="105" customHeight="1" x14ac:dyDescent="0.2">
      <c r="A85" s="179"/>
      <c r="B85" s="63" t="s">
        <v>1</v>
      </c>
      <c r="C85" s="40" t="s">
        <v>2</v>
      </c>
      <c r="D85" s="63" t="s">
        <v>3</v>
      </c>
      <c r="E85" s="64" t="s">
        <v>83</v>
      </c>
      <c r="F85" s="64" t="s">
        <v>5</v>
      </c>
      <c r="G85" s="64" t="s">
        <v>6</v>
      </c>
      <c r="H85" s="64" t="s">
        <v>7</v>
      </c>
      <c r="I85" s="64" t="s">
        <v>8</v>
      </c>
      <c r="J85" s="64" t="s">
        <v>9</v>
      </c>
      <c r="K85" s="65" t="s">
        <v>10</v>
      </c>
    </row>
    <row r="86" spans="1:11" ht="38.25" customHeight="1" x14ac:dyDescent="0.2">
      <c r="A86" s="179"/>
      <c r="B86" s="36" t="s">
        <v>11</v>
      </c>
      <c r="C86" s="35" t="s">
        <v>53</v>
      </c>
      <c r="D86" s="36">
        <v>18</v>
      </c>
      <c r="E86" s="38">
        <f t="shared" ref="E86:E93" si="24">+E71</f>
        <v>10648000</v>
      </c>
      <c r="F86" s="37">
        <f>+E86*10/100+E86</f>
        <v>11712800</v>
      </c>
      <c r="G86" s="37">
        <f>+F86*10%</f>
        <v>1171280</v>
      </c>
      <c r="H86" s="37">
        <f>+G86*0.19</f>
        <v>222543</v>
      </c>
      <c r="I86" s="38">
        <f>F86+H86</f>
        <v>11935343</v>
      </c>
      <c r="J86" s="39">
        <v>2</v>
      </c>
      <c r="K86" s="66">
        <f t="shared" ref="K86:K93" si="25">+D86*I86*J86</f>
        <v>429672348</v>
      </c>
    </row>
    <row r="87" spans="1:11" ht="46.5" customHeight="1" x14ac:dyDescent="0.2">
      <c r="A87" s="179"/>
      <c r="B87" s="36" t="s">
        <v>12</v>
      </c>
      <c r="C87" s="35" t="s">
        <v>54</v>
      </c>
      <c r="D87" s="36">
        <v>1</v>
      </c>
      <c r="E87" s="38">
        <f t="shared" si="24"/>
        <v>10648000</v>
      </c>
      <c r="F87" s="37">
        <f>+E87*8/100+E87</f>
        <v>11499840</v>
      </c>
      <c r="G87" s="37">
        <f t="shared" ref="G87:G93" si="26">+F87*10%</f>
        <v>1149984</v>
      </c>
      <c r="H87" s="37">
        <f t="shared" ref="H87:H93" si="27">+G87*0.19</f>
        <v>218497</v>
      </c>
      <c r="I87" s="38">
        <f t="shared" ref="I87:I93" si="28">F87+H87</f>
        <v>11718337</v>
      </c>
      <c r="J87" s="39">
        <v>2</v>
      </c>
      <c r="K87" s="66">
        <f t="shared" si="25"/>
        <v>23436674</v>
      </c>
    </row>
    <row r="88" spans="1:11" x14ac:dyDescent="0.2">
      <c r="A88" s="179"/>
      <c r="B88" s="36" t="s">
        <v>13</v>
      </c>
      <c r="C88" s="35" t="s">
        <v>55</v>
      </c>
      <c r="D88" s="36">
        <v>10</v>
      </c>
      <c r="E88" s="38">
        <f t="shared" si="24"/>
        <v>4767749</v>
      </c>
      <c r="F88" s="37">
        <f>+E88*8/100+E88</f>
        <v>5149169</v>
      </c>
      <c r="G88" s="37">
        <f t="shared" si="26"/>
        <v>514917</v>
      </c>
      <c r="H88" s="37">
        <f t="shared" si="27"/>
        <v>97834</v>
      </c>
      <c r="I88" s="38">
        <f t="shared" si="28"/>
        <v>5247003</v>
      </c>
      <c r="J88" s="39">
        <v>2</v>
      </c>
      <c r="K88" s="66">
        <f t="shared" si="25"/>
        <v>104940060</v>
      </c>
    </row>
    <row r="89" spans="1:11" x14ac:dyDescent="0.2">
      <c r="A89" s="179"/>
      <c r="B89" s="36" t="s">
        <v>14</v>
      </c>
      <c r="C89" s="35" t="s">
        <v>56</v>
      </c>
      <c r="D89" s="36">
        <v>0</v>
      </c>
      <c r="E89" s="38">
        <f t="shared" si="24"/>
        <v>3178500</v>
      </c>
      <c r="F89" s="37">
        <f>+E89*8/100+E89</f>
        <v>3432780</v>
      </c>
      <c r="G89" s="37">
        <f t="shared" si="26"/>
        <v>343278</v>
      </c>
      <c r="H89" s="37">
        <f t="shared" si="27"/>
        <v>65223</v>
      </c>
      <c r="I89" s="38">
        <f t="shared" si="28"/>
        <v>3498003</v>
      </c>
      <c r="J89" s="39">
        <v>2</v>
      </c>
      <c r="K89" s="66">
        <f t="shared" si="25"/>
        <v>0</v>
      </c>
    </row>
    <row r="90" spans="1:11" x14ac:dyDescent="0.2">
      <c r="A90" s="179"/>
      <c r="B90" s="36" t="s">
        <v>15</v>
      </c>
      <c r="C90" s="35" t="s">
        <v>57</v>
      </c>
      <c r="D90" s="36">
        <v>2</v>
      </c>
      <c r="E90" s="38">
        <f t="shared" si="24"/>
        <v>10648000</v>
      </c>
      <c r="F90" s="37">
        <f>+E90*11/100+E90</f>
        <v>11819280</v>
      </c>
      <c r="G90" s="37">
        <f t="shared" si="26"/>
        <v>1181928</v>
      </c>
      <c r="H90" s="37">
        <f t="shared" si="27"/>
        <v>224566</v>
      </c>
      <c r="I90" s="38">
        <f t="shared" si="28"/>
        <v>12043846</v>
      </c>
      <c r="J90" s="39">
        <v>2</v>
      </c>
      <c r="K90" s="66">
        <f t="shared" si="25"/>
        <v>48175384</v>
      </c>
    </row>
    <row r="91" spans="1:11" x14ac:dyDescent="0.2">
      <c r="A91" s="179"/>
      <c r="B91" s="36" t="s">
        <v>16</v>
      </c>
      <c r="C91" s="35" t="s">
        <v>58</v>
      </c>
      <c r="D91" s="36">
        <v>2</v>
      </c>
      <c r="E91" s="38">
        <f t="shared" si="24"/>
        <v>3814198</v>
      </c>
      <c r="F91" s="37">
        <f>+E91*8/100+E91</f>
        <v>4119334</v>
      </c>
      <c r="G91" s="37">
        <f t="shared" si="26"/>
        <v>411933</v>
      </c>
      <c r="H91" s="37">
        <f t="shared" si="27"/>
        <v>78267</v>
      </c>
      <c r="I91" s="38">
        <f t="shared" si="28"/>
        <v>4197601</v>
      </c>
      <c r="J91" s="39">
        <v>2</v>
      </c>
      <c r="K91" s="66">
        <f t="shared" si="25"/>
        <v>16790404</v>
      </c>
    </row>
    <row r="92" spans="1:11" ht="42" x14ac:dyDescent="0.2">
      <c r="A92" s="179"/>
      <c r="B92" s="36" t="s">
        <v>18</v>
      </c>
      <c r="C92" s="35" t="s">
        <v>59</v>
      </c>
      <c r="D92" s="36">
        <v>0</v>
      </c>
      <c r="E92" s="38">
        <f t="shared" si="24"/>
        <v>3867174</v>
      </c>
      <c r="F92" s="37">
        <f>+E92*10/100+E92</f>
        <v>4253891</v>
      </c>
      <c r="G92" s="37">
        <f t="shared" si="26"/>
        <v>425389</v>
      </c>
      <c r="H92" s="37">
        <f t="shared" si="27"/>
        <v>80824</v>
      </c>
      <c r="I92" s="38">
        <f t="shared" si="28"/>
        <v>4334715</v>
      </c>
      <c r="J92" s="39">
        <v>2</v>
      </c>
      <c r="K92" s="66">
        <f t="shared" si="25"/>
        <v>0</v>
      </c>
    </row>
    <row r="93" spans="1:11" ht="42" x14ac:dyDescent="0.2">
      <c r="A93" s="179"/>
      <c r="B93" s="36" t="s">
        <v>19</v>
      </c>
      <c r="C93" s="35" t="s">
        <v>60</v>
      </c>
      <c r="D93" s="36">
        <v>1</v>
      </c>
      <c r="E93" s="38">
        <f t="shared" si="24"/>
        <v>4396923</v>
      </c>
      <c r="F93" s="37">
        <f>+E93*8/100+E93</f>
        <v>4748677</v>
      </c>
      <c r="G93" s="37">
        <f t="shared" si="26"/>
        <v>474868</v>
      </c>
      <c r="H93" s="37">
        <f t="shared" si="27"/>
        <v>90225</v>
      </c>
      <c r="I93" s="38">
        <f t="shared" si="28"/>
        <v>4838902</v>
      </c>
      <c r="J93" s="39">
        <v>2</v>
      </c>
      <c r="K93" s="66">
        <f t="shared" si="25"/>
        <v>9677804</v>
      </c>
    </row>
    <row r="94" spans="1:11" ht="22" x14ac:dyDescent="0.2">
      <c r="A94" s="179"/>
      <c r="B94" s="36"/>
      <c r="C94" s="40" t="s">
        <v>20</v>
      </c>
      <c r="D94" s="36">
        <v>34</v>
      </c>
      <c r="E94" s="67"/>
      <c r="F94" s="41"/>
      <c r="G94" s="41"/>
      <c r="H94" s="41"/>
      <c r="I94" s="38"/>
      <c r="J94" s="42"/>
      <c r="K94" s="66"/>
    </row>
    <row r="95" spans="1:11" ht="33.75" customHeight="1" x14ac:dyDescent="0.2">
      <c r="A95" s="179"/>
      <c r="B95" s="36" t="s">
        <v>46</v>
      </c>
      <c r="C95" s="43" t="s">
        <v>61</v>
      </c>
      <c r="D95" s="36">
        <v>1</v>
      </c>
      <c r="E95" s="38">
        <f>+E80</f>
        <v>10648000</v>
      </c>
      <c r="F95" s="37">
        <f>+E95*0.08+E95</f>
        <v>11499840</v>
      </c>
      <c r="G95" s="37">
        <f>+F95*10%</f>
        <v>1149984</v>
      </c>
      <c r="H95" s="37">
        <f>+G95*0.19</f>
        <v>218497</v>
      </c>
      <c r="I95" s="38">
        <f>F95+H95</f>
        <v>11718337</v>
      </c>
      <c r="J95" s="39">
        <v>2</v>
      </c>
      <c r="K95" s="66">
        <f>+I95*J95</f>
        <v>23436674</v>
      </c>
    </row>
    <row r="96" spans="1:11" ht="68.25" customHeight="1" x14ac:dyDescent="0.2">
      <c r="A96" s="179"/>
      <c r="B96" s="36" t="s">
        <v>62</v>
      </c>
      <c r="C96" s="44" t="s">
        <v>63</v>
      </c>
      <c r="D96" s="36">
        <v>1</v>
      </c>
      <c r="E96" s="67">
        <f>+E81</f>
        <v>5710524</v>
      </c>
      <c r="F96" s="38"/>
      <c r="G96" s="38">
        <f>+E96*10/100</f>
        <v>571052</v>
      </c>
      <c r="H96" s="38">
        <f>+G96*0.19</f>
        <v>108500</v>
      </c>
      <c r="I96" s="38">
        <f>+E96+H96</f>
        <v>5819024</v>
      </c>
      <c r="J96" s="39">
        <v>2</v>
      </c>
      <c r="K96" s="66">
        <f>+I96*J96</f>
        <v>11638048</v>
      </c>
    </row>
    <row r="97" spans="1:16" s="50" customFormat="1" ht="38.25" customHeight="1" x14ac:dyDescent="0.2">
      <c r="A97" s="179"/>
      <c r="B97" s="69"/>
      <c r="C97" s="69"/>
      <c r="D97" s="69"/>
      <c r="E97" s="182" t="s">
        <v>77</v>
      </c>
      <c r="F97" s="182"/>
      <c r="G97" s="182"/>
      <c r="H97" s="182"/>
      <c r="I97" s="182"/>
      <c r="J97" s="182"/>
      <c r="K97" s="73">
        <f>SUM(K86:K96)</f>
        <v>667767396</v>
      </c>
    </row>
    <row r="98" spans="1:16" ht="53.25" customHeight="1" x14ac:dyDescent="0.2">
      <c r="B98" s="33"/>
      <c r="C98" s="33"/>
      <c r="D98" s="33"/>
      <c r="E98" s="48"/>
      <c r="F98" s="48"/>
      <c r="G98" s="49"/>
    </row>
    <row r="99" spans="1:16" ht="40.5" customHeight="1" x14ac:dyDescent="0.2">
      <c r="B99" s="33"/>
      <c r="C99" s="33"/>
      <c r="D99" s="33"/>
      <c r="E99" s="48"/>
      <c r="F99" s="196">
        <v>7</v>
      </c>
      <c r="G99" s="186" t="s">
        <v>64</v>
      </c>
      <c r="H99" s="182" t="s">
        <v>21</v>
      </c>
      <c r="I99" s="182"/>
      <c r="J99" s="74" t="s">
        <v>22</v>
      </c>
    </row>
    <row r="100" spans="1:16" ht="41.25" customHeight="1" x14ac:dyDescent="0.2">
      <c r="B100" s="33"/>
      <c r="C100" s="33"/>
      <c r="D100" s="33"/>
      <c r="E100" s="48"/>
      <c r="F100" s="196"/>
      <c r="G100" s="186"/>
      <c r="H100" s="182">
        <v>2022</v>
      </c>
      <c r="I100" s="182"/>
      <c r="J100" s="68">
        <f>+K20+K35</f>
        <v>299699070</v>
      </c>
    </row>
    <row r="101" spans="1:16" ht="50.25" customHeight="1" x14ac:dyDescent="0.2">
      <c r="B101" s="33"/>
      <c r="C101" s="33"/>
      <c r="D101" s="33"/>
      <c r="E101" s="48"/>
      <c r="F101" s="196"/>
      <c r="G101" s="186"/>
      <c r="H101" s="182">
        <v>2023</v>
      </c>
      <c r="I101" s="182"/>
      <c r="J101" s="72">
        <f>+K51+K66</f>
        <v>4165134282</v>
      </c>
    </row>
    <row r="102" spans="1:16" ht="46.5" customHeight="1" x14ac:dyDescent="0.2">
      <c r="B102" s="33"/>
      <c r="C102" s="33"/>
      <c r="D102" s="33"/>
      <c r="E102" s="48"/>
      <c r="F102" s="196"/>
      <c r="G102" s="186"/>
      <c r="H102" s="182">
        <v>2024</v>
      </c>
      <c r="I102" s="182"/>
      <c r="J102" s="73">
        <f>+K82+K97</f>
        <v>4581647836</v>
      </c>
    </row>
    <row r="103" spans="1:16" ht="37.5" customHeight="1" x14ac:dyDescent="0.2">
      <c r="B103" s="33"/>
      <c r="C103" s="33"/>
      <c r="D103" s="33"/>
      <c r="E103" s="48"/>
      <c r="F103" s="36"/>
      <c r="G103" s="76"/>
      <c r="H103" s="63" t="s">
        <v>22</v>
      </c>
      <c r="I103" s="63"/>
      <c r="J103" s="75">
        <f>SUM(J100:J102)</f>
        <v>9046481188</v>
      </c>
    </row>
    <row r="105" spans="1:16" x14ac:dyDescent="0.2">
      <c r="B105" s="1"/>
      <c r="C105" s="3" t="s">
        <v>23</v>
      </c>
      <c r="D105" s="4"/>
      <c r="E105" s="4"/>
      <c r="F105" s="1"/>
      <c r="G105" s="1"/>
      <c r="H105" s="1"/>
      <c r="I105" s="1"/>
      <c r="J105" s="5"/>
      <c r="L105" s="1"/>
      <c r="M105" s="1"/>
      <c r="N105" s="6"/>
      <c r="O105" s="2"/>
      <c r="P105" s="1"/>
    </row>
    <row r="106" spans="1:16" x14ac:dyDescent="0.2">
      <c r="B106" s="1"/>
      <c r="C106" s="194" t="s">
        <v>24</v>
      </c>
      <c r="D106" s="194"/>
      <c r="E106" s="194"/>
      <c r="F106" s="1"/>
      <c r="G106" s="1"/>
      <c r="H106" s="1"/>
      <c r="I106" s="1"/>
      <c r="J106" s="5"/>
      <c r="L106" s="1"/>
      <c r="M106" s="1"/>
      <c r="N106" s="6"/>
      <c r="O106" s="2"/>
      <c r="P106" s="1"/>
    </row>
    <row r="107" spans="1:16" x14ac:dyDescent="0.2">
      <c r="B107" s="1"/>
      <c r="C107" s="194" t="s">
        <v>25</v>
      </c>
      <c r="D107" s="194"/>
      <c r="E107" s="194"/>
      <c r="F107" s="1"/>
      <c r="G107" s="1"/>
      <c r="H107" s="1"/>
      <c r="I107" s="1"/>
      <c r="J107" s="5"/>
      <c r="K107" s="5"/>
      <c r="L107" s="1"/>
      <c r="M107" s="1"/>
      <c r="N107" s="6"/>
      <c r="O107" s="2"/>
      <c r="P107" s="1"/>
    </row>
    <row r="108" spans="1:16" x14ac:dyDescent="0.2">
      <c r="B108" s="1"/>
      <c r="C108" s="194" t="s">
        <v>26</v>
      </c>
      <c r="D108" s="194"/>
      <c r="E108" s="194"/>
      <c r="F108" s="1"/>
      <c r="G108" s="1"/>
      <c r="H108" s="1"/>
      <c r="I108" s="1"/>
      <c r="J108" s="5"/>
      <c r="K108" s="7"/>
      <c r="L108" s="1"/>
      <c r="M108" s="1"/>
      <c r="N108" s="6"/>
      <c r="O108" s="2"/>
      <c r="P108" s="1"/>
    </row>
    <row r="109" spans="1:16" x14ac:dyDescent="0.2">
      <c r="B109" s="1"/>
      <c r="C109" s="62"/>
      <c r="D109" s="8"/>
      <c r="E109" s="8"/>
      <c r="F109" s="1"/>
      <c r="G109" s="1"/>
      <c r="H109" s="1"/>
      <c r="I109" s="1"/>
      <c r="J109" s="5"/>
      <c r="K109" s="5"/>
      <c r="L109" s="1"/>
      <c r="M109" s="1"/>
      <c r="N109" s="6"/>
      <c r="O109" s="2"/>
      <c r="P109" s="1"/>
    </row>
    <row r="110" spans="1:16" x14ac:dyDescent="0.2">
      <c r="B110" s="1"/>
      <c r="C110" s="9" t="s">
        <v>27</v>
      </c>
      <c r="D110" s="9"/>
      <c r="E110" s="9">
        <f>1000000</f>
        <v>1000000</v>
      </c>
      <c r="F110" s="1"/>
      <c r="G110" s="1"/>
      <c r="H110" s="1"/>
      <c r="I110" s="1"/>
      <c r="J110" s="5"/>
      <c r="K110" s="5"/>
      <c r="L110" s="1"/>
      <c r="M110" s="1"/>
      <c r="N110" s="6"/>
      <c r="O110" s="2"/>
      <c r="P110" s="1"/>
    </row>
    <row r="111" spans="1:16" x14ac:dyDescent="0.2">
      <c r="B111" s="1"/>
      <c r="C111" s="9" t="s">
        <v>28</v>
      </c>
      <c r="D111" s="9"/>
      <c r="E111" s="10">
        <v>8.8000000000000007</v>
      </c>
      <c r="F111" s="1"/>
      <c r="G111" s="1">
        <f>+E110*E111</f>
        <v>8800000</v>
      </c>
      <c r="H111" s="1"/>
      <c r="I111" s="1"/>
      <c r="J111" s="5"/>
      <c r="K111" s="11"/>
      <c r="L111" s="1"/>
      <c r="M111" s="1"/>
      <c r="N111" s="6"/>
      <c r="O111" s="2"/>
      <c r="P111" s="1"/>
    </row>
    <row r="112" spans="1:16" x14ac:dyDescent="0.2">
      <c r="B112" s="1"/>
      <c r="C112" s="9"/>
      <c r="D112" s="9"/>
      <c r="E112" s="9"/>
      <c r="F112" s="1"/>
      <c r="G112" s="1"/>
      <c r="H112" s="1"/>
      <c r="I112" s="1"/>
      <c r="J112" s="5"/>
      <c r="K112" s="12"/>
      <c r="L112" s="1"/>
      <c r="M112" s="1"/>
      <c r="N112" s="6"/>
      <c r="O112" s="2"/>
      <c r="P112" s="1"/>
    </row>
    <row r="113" spans="2:16" x14ac:dyDescent="0.25">
      <c r="B113" s="1"/>
      <c r="C113" s="13"/>
      <c r="D113" s="5"/>
      <c r="E113" s="1"/>
      <c r="F113" s="1"/>
      <c r="G113" s="1"/>
      <c r="H113" s="1"/>
      <c r="I113" s="1"/>
      <c r="J113" s="5"/>
      <c r="K113" s="5"/>
      <c r="L113" s="1"/>
      <c r="M113" s="1"/>
      <c r="N113" s="6"/>
      <c r="O113" s="2"/>
      <c r="P113" s="1"/>
    </row>
    <row r="114" spans="2:16" ht="22" x14ac:dyDescent="0.25">
      <c r="B114" s="195" t="s">
        <v>29</v>
      </c>
      <c r="C114" s="195"/>
      <c r="D114" s="52" t="s">
        <v>30</v>
      </c>
      <c r="E114" s="61" t="s">
        <v>28</v>
      </c>
      <c r="F114" s="61" t="s">
        <v>31</v>
      </c>
      <c r="G114" s="61" t="s">
        <v>32</v>
      </c>
      <c r="H114" s="53" t="s">
        <v>33</v>
      </c>
      <c r="I114" s="53" t="s">
        <v>34</v>
      </c>
      <c r="J114" s="53" t="s">
        <v>35</v>
      </c>
      <c r="K114" s="54" t="s">
        <v>36</v>
      </c>
      <c r="L114" s="55" t="s">
        <v>37</v>
      </c>
      <c r="M114" s="56" t="s">
        <v>37</v>
      </c>
      <c r="N114" s="61" t="s">
        <v>38</v>
      </c>
      <c r="O114" s="2"/>
      <c r="P114" s="1"/>
    </row>
    <row r="115" spans="2:16" ht="22" x14ac:dyDescent="0.25">
      <c r="B115" s="57" t="s">
        <v>11</v>
      </c>
      <c r="C115" s="14" t="s">
        <v>39</v>
      </c>
      <c r="D115" s="15">
        <f>+E110</f>
        <v>1000000</v>
      </c>
      <c r="E115" s="16">
        <v>8.8000000000000007</v>
      </c>
      <c r="F115" s="17">
        <v>0.55969999999999998</v>
      </c>
      <c r="G115" s="18">
        <v>30</v>
      </c>
      <c r="H115" s="18">
        <v>30</v>
      </c>
      <c r="I115" s="18">
        <v>15</v>
      </c>
      <c r="J115" s="18">
        <v>24</v>
      </c>
      <c r="K115" s="51">
        <f>+G111</f>
        <v>8800000</v>
      </c>
      <c r="L115" s="20">
        <v>0.1</v>
      </c>
      <c r="M115" s="21">
        <f>+K115*L115</f>
        <v>880000</v>
      </c>
      <c r="N115" s="18">
        <f>+K115+M115</f>
        <v>9680000</v>
      </c>
      <c r="O115" s="2"/>
      <c r="P115" s="1"/>
    </row>
    <row r="116" spans="2:16" ht="22" x14ac:dyDescent="0.25">
      <c r="B116" s="57" t="s">
        <v>12</v>
      </c>
      <c r="C116" s="14" t="s">
        <v>40</v>
      </c>
      <c r="D116" s="15">
        <f>+D115</f>
        <v>1000000</v>
      </c>
      <c r="E116" s="16">
        <v>8.8000000000000007</v>
      </c>
      <c r="F116" s="17">
        <v>0.55969999999999998</v>
      </c>
      <c r="G116" s="18">
        <v>30</v>
      </c>
      <c r="H116" s="18">
        <v>30</v>
      </c>
      <c r="I116" s="18">
        <v>15</v>
      </c>
      <c r="J116" s="18">
        <v>24</v>
      </c>
      <c r="K116" s="51">
        <f>+G111</f>
        <v>8800000</v>
      </c>
      <c r="L116" s="20">
        <v>0.08</v>
      </c>
      <c r="M116" s="21">
        <f t="shared" ref="M116:M123" si="29">+K116*L116</f>
        <v>704000</v>
      </c>
      <c r="N116" s="18">
        <f>+K116+M116</f>
        <v>9504000</v>
      </c>
      <c r="O116" s="2"/>
      <c r="P116" s="1"/>
    </row>
    <row r="117" spans="2:16" ht="22" x14ac:dyDescent="0.25">
      <c r="B117" s="60" t="s">
        <v>13</v>
      </c>
      <c r="C117" s="22" t="s">
        <v>41</v>
      </c>
      <c r="D117" s="15">
        <f t="shared" ref="D117:D123" si="30">+D116</f>
        <v>1000000</v>
      </c>
      <c r="E117" s="24">
        <v>8.8000000000000007</v>
      </c>
      <c r="F117" s="25">
        <v>0.55969999999999998</v>
      </c>
      <c r="G117" s="26">
        <v>30</v>
      </c>
      <c r="H117" s="27">
        <v>24</v>
      </c>
      <c r="I117" s="26">
        <v>15</v>
      </c>
      <c r="J117" s="26">
        <v>15</v>
      </c>
      <c r="K117" s="51">
        <f>+((G111*55.97%)/15*15)/30*24</f>
        <v>3940288</v>
      </c>
      <c r="L117" s="28">
        <v>0.08</v>
      </c>
      <c r="M117" s="29">
        <f t="shared" si="29"/>
        <v>315223</v>
      </c>
      <c r="N117" s="58">
        <f t="shared" ref="N117:N123" si="31">+K117+M117</f>
        <v>4255511</v>
      </c>
      <c r="O117" s="2"/>
      <c r="P117" s="1"/>
    </row>
    <row r="118" spans="2:16" ht="22" x14ac:dyDescent="0.25">
      <c r="B118" s="60" t="s">
        <v>14</v>
      </c>
      <c r="C118" s="22" t="s">
        <v>42</v>
      </c>
      <c r="D118" s="15">
        <f t="shared" si="30"/>
        <v>1000000</v>
      </c>
      <c r="E118" s="24">
        <v>8.8000000000000007</v>
      </c>
      <c r="F118" s="25">
        <v>0.55969999999999998</v>
      </c>
      <c r="G118" s="26">
        <v>30</v>
      </c>
      <c r="H118" s="27">
        <v>24</v>
      </c>
      <c r="I118" s="26">
        <v>15</v>
      </c>
      <c r="J118" s="26">
        <v>10</v>
      </c>
      <c r="K118" s="51">
        <f>+((G111*55.97%)/15*10)/30*24</f>
        <v>2626858.7000000002</v>
      </c>
      <c r="L118" s="28">
        <v>0.08</v>
      </c>
      <c r="M118" s="29">
        <f t="shared" si="29"/>
        <v>210149</v>
      </c>
      <c r="N118" s="58">
        <f t="shared" si="31"/>
        <v>2837008</v>
      </c>
      <c r="O118" s="2"/>
      <c r="P118" s="1"/>
    </row>
    <row r="119" spans="2:16" ht="22" x14ac:dyDescent="0.25">
      <c r="B119" s="57" t="s">
        <v>15</v>
      </c>
      <c r="C119" s="14" t="s">
        <v>43</v>
      </c>
      <c r="D119" s="15">
        <f t="shared" si="30"/>
        <v>1000000</v>
      </c>
      <c r="E119" s="16">
        <v>8.8000000000000007</v>
      </c>
      <c r="F119" s="17">
        <v>0.55969999999999998</v>
      </c>
      <c r="G119" s="18">
        <v>30</v>
      </c>
      <c r="H119" s="30">
        <v>30</v>
      </c>
      <c r="I119" s="18">
        <v>15</v>
      </c>
      <c r="J119" s="18">
        <v>24</v>
      </c>
      <c r="K119" s="51">
        <f>+G111</f>
        <v>8800000</v>
      </c>
      <c r="L119" s="20">
        <v>0.11</v>
      </c>
      <c r="M119" s="21">
        <f t="shared" si="29"/>
        <v>968000</v>
      </c>
      <c r="N119" s="18">
        <f t="shared" si="31"/>
        <v>9768000</v>
      </c>
      <c r="O119" s="2"/>
      <c r="P119" s="1"/>
    </row>
    <row r="120" spans="2:16" ht="22" x14ac:dyDescent="0.25">
      <c r="B120" s="60"/>
      <c r="C120" s="22" t="s">
        <v>44</v>
      </c>
      <c r="D120" s="15">
        <f t="shared" si="30"/>
        <v>1000000</v>
      </c>
      <c r="E120" s="24">
        <v>8.8000000000000007</v>
      </c>
      <c r="F120" s="25">
        <v>0.55969999999999998</v>
      </c>
      <c r="G120" s="26">
        <v>30</v>
      </c>
      <c r="H120" s="27">
        <v>24</v>
      </c>
      <c r="I120" s="26">
        <v>15</v>
      </c>
      <c r="J120" s="26">
        <v>14</v>
      </c>
      <c r="K120" s="51">
        <f>+((G111*55.97%)/15*14)/30*24</f>
        <v>3677602.1</v>
      </c>
      <c r="L120" s="28">
        <v>0.08</v>
      </c>
      <c r="M120" s="29">
        <f t="shared" si="29"/>
        <v>294208</v>
      </c>
      <c r="N120" s="58">
        <f t="shared" si="31"/>
        <v>3971810</v>
      </c>
      <c r="O120" s="2"/>
      <c r="P120" s="1"/>
    </row>
    <row r="121" spans="2:16" ht="22" x14ac:dyDescent="0.25">
      <c r="B121" s="60" t="s">
        <v>16</v>
      </c>
      <c r="C121" s="22" t="s">
        <v>17</v>
      </c>
      <c r="D121" s="15">
        <f t="shared" si="30"/>
        <v>1000000</v>
      </c>
      <c r="E121" s="24">
        <v>8.8000000000000007</v>
      </c>
      <c r="F121" s="25">
        <v>0.55969999999999998</v>
      </c>
      <c r="G121" s="26">
        <v>30</v>
      </c>
      <c r="H121" s="27">
        <v>24</v>
      </c>
      <c r="I121" s="26">
        <v>15</v>
      </c>
      <c r="J121" s="26">
        <v>12</v>
      </c>
      <c r="K121" s="51">
        <f>+((G111*55.97%)/15*12)/30*24</f>
        <v>3152230.3999999999</v>
      </c>
      <c r="L121" s="28">
        <v>0.08</v>
      </c>
      <c r="M121" s="29">
        <f t="shared" si="29"/>
        <v>252178</v>
      </c>
      <c r="N121" s="58">
        <f t="shared" si="31"/>
        <v>3404408</v>
      </c>
      <c r="O121" s="2"/>
      <c r="P121" s="1"/>
    </row>
    <row r="122" spans="2:16" ht="22" x14ac:dyDescent="0.25">
      <c r="B122" s="60"/>
      <c r="C122" s="22" t="s">
        <v>45</v>
      </c>
      <c r="D122" s="15">
        <f t="shared" si="30"/>
        <v>1000000</v>
      </c>
      <c r="E122" s="24">
        <v>8.8000000000000007</v>
      </c>
      <c r="F122" s="25">
        <v>0.55969999999999998</v>
      </c>
      <c r="G122" s="26">
        <v>30</v>
      </c>
      <c r="H122" s="27">
        <v>20</v>
      </c>
      <c r="I122" s="26">
        <v>15</v>
      </c>
      <c r="J122" s="26">
        <v>12</v>
      </c>
      <c r="K122" s="51">
        <f>+((G111*55.97%)/15*12)/30*20</f>
        <v>2626858.7000000002</v>
      </c>
      <c r="L122" s="28">
        <v>0.08</v>
      </c>
      <c r="M122" s="29">
        <f t="shared" si="29"/>
        <v>210149</v>
      </c>
      <c r="N122" s="58">
        <f t="shared" si="31"/>
        <v>2837008</v>
      </c>
      <c r="O122" s="2"/>
      <c r="P122" s="1"/>
    </row>
    <row r="123" spans="2:16" ht="22" x14ac:dyDescent="0.25">
      <c r="B123" s="57"/>
      <c r="C123" s="14" t="s">
        <v>47</v>
      </c>
      <c r="D123" s="15">
        <f t="shared" si="30"/>
        <v>1000000</v>
      </c>
      <c r="E123" s="16">
        <v>8.8000000000000007</v>
      </c>
      <c r="F123" s="17">
        <v>0.55969999999999998</v>
      </c>
      <c r="G123" s="18">
        <v>30</v>
      </c>
      <c r="H123" s="30">
        <v>30</v>
      </c>
      <c r="I123" s="18">
        <v>15</v>
      </c>
      <c r="J123" s="18">
        <v>24</v>
      </c>
      <c r="K123" s="51">
        <f>+G111</f>
        <v>8800000</v>
      </c>
      <c r="L123" s="20">
        <v>0.08</v>
      </c>
      <c r="M123" s="21">
        <f t="shared" si="29"/>
        <v>704000</v>
      </c>
      <c r="N123" s="18">
        <f t="shared" si="31"/>
        <v>9504000</v>
      </c>
      <c r="O123" s="2"/>
      <c r="P123" s="1"/>
    </row>
    <row r="124" spans="2:16" x14ac:dyDescent="0.2">
      <c r="B124" s="1"/>
      <c r="C124" s="31"/>
      <c r="D124" s="31"/>
      <c r="E124" s="5"/>
      <c r="F124" s="1"/>
      <c r="G124" s="1"/>
      <c r="H124" s="1"/>
      <c r="I124" s="1"/>
      <c r="J124" s="5"/>
      <c r="K124" s="5"/>
      <c r="L124" s="1"/>
      <c r="M124" s="1"/>
      <c r="N124" s="2"/>
      <c r="O124" s="2"/>
      <c r="P124" s="1"/>
    </row>
    <row r="125" spans="2:16" x14ac:dyDescent="0.2">
      <c r="B125" s="1"/>
      <c r="C125" s="5"/>
      <c r="D125" s="31"/>
      <c r="E125" s="5"/>
      <c r="F125" s="5"/>
      <c r="G125" s="1"/>
      <c r="H125" s="1"/>
      <c r="I125" s="1"/>
      <c r="J125" s="1"/>
      <c r="K125" s="5"/>
      <c r="L125" s="5"/>
      <c r="M125" s="1"/>
      <c r="N125" s="1"/>
      <c r="O125" s="2"/>
      <c r="P125" s="1"/>
    </row>
    <row r="126" spans="2:16" x14ac:dyDescent="0.2">
      <c r="B126" s="1"/>
      <c r="C126" s="5"/>
      <c r="D126" s="31"/>
      <c r="E126" s="5"/>
      <c r="F126" s="5"/>
      <c r="G126" s="1"/>
      <c r="H126" s="1"/>
      <c r="I126" s="1"/>
      <c r="J126" s="1"/>
      <c r="K126" s="5"/>
      <c r="L126" s="5"/>
      <c r="M126" s="1"/>
      <c r="N126" s="1"/>
      <c r="O126" s="2"/>
      <c r="P126" s="1"/>
    </row>
    <row r="127" spans="2:16" x14ac:dyDescent="0.25">
      <c r="B127" s="192" t="s">
        <v>18</v>
      </c>
      <c r="C127" s="193" t="s">
        <v>48</v>
      </c>
      <c r="D127" s="23">
        <v>1000000</v>
      </c>
      <c r="E127" s="24">
        <v>8.8000000000000007</v>
      </c>
      <c r="F127" s="25">
        <v>0.55969999999999998</v>
      </c>
      <c r="G127" s="26">
        <v>30</v>
      </c>
      <c r="H127" s="27">
        <v>20</v>
      </c>
      <c r="I127" s="26">
        <v>15</v>
      </c>
      <c r="J127" s="26">
        <v>13</v>
      </c>
      <c r="K127" s="19">
        <f>+((G111*55.97%)/15*13)/30*20</f>
        <v>2845764</v>
      </c>
      <c r="L127" s="28">
        <v>0.1</v>
      </c>
      <c r="M127" s="29">
        <f>+K127*L127</f>
        <v>284576</v>
      </c>
      <c r="N127" s="58">
        <f>+K127+M127</f>
        <v>3130340</v>
      </c>
      <c r="O127" s="2"/>
      <c r="P127" s="1"/>
    </row>
    <row r="128" spans="2:16" x14ac:dyDescent="0.25">
      <c r="B128" s="192"/>
      <c r="C128" s="193"/>
      <c r="D128" s="23">
        <v>1000000</v>
      </c>
      <c r="E128" s="24">
        <v>8.8000000000000007</v>
      </c>
      <c r="F128" s="25">
        <v>0.55969999999999998</v>
      </c>
      <c r="G128" s="26">
        <v>30</v>
      </c>
      <c r="H128" s="27">
        <v>20</v>
      </c>
      <c r="I128" s="26">
        <v>15</v>
      </c>
      <c r="J128" s="26">
        <v>8</v>
      </c>
      <c r="K128" s="19">
        <f>+((G111*55.97%)/15*8)/30*4</f>
        <v>350248</v>
      </c>
      <c r="L128" s="28">
        <v>0.1</v>
      </c>
      <c r="M128" s="29">
        <f>+K128*L128</f>
        <v>35025</v>
      </c>
      <c r="N128" s="58">
        <f>+K128+M128</f>
        <v>385273</v>
      </c>
      <c r="O128" s="2"/>
      <c r="P128" s="1"/>
    </row>
    <row r="129" spans="2:16" ht="23" x14ac:dyDescent="0.2">
      <c r="B129" s="1"/>
      <c r="C129" s="32"/>
      <c r="D129" s="31"/>
      <c r="E129" s="5"/>
      <c r="F129" s="5"/>
      <c r="G129" s="1"/>
      <c r="H129" s="1"/>
      <c r="I129" s="1"/>
      <c r="J129" s="1"/>
      <c r="K129" s="5"/>
      <c r="L129" s="5"/>
      <c r="M129" s="1"/>
      <c r="N129" s="1"/>
      <c r="O129" s="2"/>
      <c r="P129" s="1"/>
    </row>
    <row r="130" spans="2:16" ht="23" x14ac:dyDescent="0.2">
      <c r="B130" s="1"/>
      <c r="C130" s="32"/>
      <c r="D130" s="31"/>
      <c r="E130" s="5"/>
      <c r="F130" s="5"/>
      <c r="G130" s="1"/>
      <c r="H130" s="1"/>
      <c r="I130" s="1"/>
      <c r="J130" s="1"/>
      <c r="K130" s="5"/>
      <c r="L130" s="5"/>
      <c r="M130" s="1"/>
      <c r="N130" s="1"/>
      <c r="O130" s="2"/>
      <c r="P130" s="1"/>
    </row>
    <row r="131" spans="2:16" x14ac:dyDescent="0.25">
      <c r="B131" s="192" t="s">
        <v>19</v>
      </c>
      <c r="C131" s="193" t="s">
        <v>49</v>
      </c>
      <c r="D131" s="23">
        <v>1000000</v>
      </c>
      <c r="E131" s="24">
        <v>8.8000000000000007</v>
      </c>
      <c r="F131" s="25">
        <v>0.55969999999999998</v>
      </c>
      <c r="G131" s="26">
        <v>30</v>
      </c>
      <c r="H131" s="27">
        <v>20</v>
      </c>
      <c r="I131" s="26">
        <v>15</v>
      </c>
      <c r="J131" s="26">
        <v>15</v>
      </c>
      <c r="K131" s="19">
        <f>+((G111*55.97%)/15*15)/30*20</f>
        <v>3283573</v>
      </c>
      <c r="L131" s="28">
        <v>0.08</v>
      </c>
      <c r="M131" s="29">
        <f>+K131*L131</f>
        <v>262686</v>
      </c>
      <c r="N131" s="58">
        <f>+K131+M131</f>
        <v>3546259</v>
      </c>
      <c r="O131" s="2"/>
      <c r="P131" s="1"/>
    </row>
    <row r="132" spans="2:16" x14ac:dyDescent="0.25">
      <c r="B132" s="192"/>
      <c r="C132" s="193"/>
      <c r="D132" s="23">
        <v>1000000</v>
      </c>
      <c r="E132" s="24">
        <v>8.8000000000000007</v>
      </c>
      <c r="F132" s="25">
        <v>0.55969999999999998</v>
      </c>
      <c r="G132" s="26">
        <v>30</v>
      </c>
      <c r="H132" s="27">
        <v>20</v>
      </c>
      <c r="I132" s="26">
        <v>15</v>
      </c>
      <c r="J132" s="26">
        <v>8</v>
      </c>
      <c r="K132" s="19">
        <f>+((G111*55.97%)/15*8)/30*4</f>
        <v>350248</v>
      </c>
      <c r="L132" s="28">
        <v>0.08</v>
      </c>
      <c r="M132" s="29">
        <f>+K132*L132</f>
        <v>28020</v>
      </c>
      <c r="N132" s="58">
        <f>+K132+M132</f>
        <v>378268</v>
      </c>
      <c r="O132" s="2"/>
      <c r="P132" s="1"/>
    </row>
    <row r="133" spans="2:16" x14ac:dyDescent="0.2">
      <c r="B133" s="1"/>
      <c r="C133" s="5"/>
      <c r="D133" s="31"/>
      <c r="E133" s="5"/>
      <c r="F133" s="5"/>
      <c r="G133" s="1"/>
      <c r="H133" s="1"/>
      <c r="I133" s="1"/>
      <c r="J133" s="1"/>
      <c r="K133" s="5"/>
      <c r="L133" s="5"/>
      <c r="M133" s="1"/>
      <c r="N133" s="1"/>
      <c r="O133" s="2"/>
      <c r="P133" s="1"/>
    </row>
    <row r="134" spans="2:16" x14ac:dyDescent="0.2">
      <c r="B134" s="1"/>
      <c r="C134" s="5"/>
      <c r="D134" s="31"/>
      <c r="E134" s="5"/>
      <c r="F134" s="5"/>
      <c r="G134" s="1"/>
      <c r="H134" s="1"/>
      <c r="I134" s="1"/>
      <c r="J134" s="1"/>
      <c r="K134" s="5"/>
      <c r="L134" s="5"/>
      <c r="M134" s="1"/>
      <c r="N134" s="1"/>
      <c r="O134" s="2"/>
      <c r="P134" s="1"/>
    </row>
    <row r="135" spans="2:16" x14ac:dyDescent="0.2">
      <c r="B135" s="1"/>
      <c r="C135" s="5"/>
      <c r="D135" s="31"/>
      <c r="E135" s="5"/>
      <c r="F135" s="5"/>
      <c r="G135" s="1"/>
      <c r="H135" s="1"/>
      <c r="I135" s="1"/>
      <c r="J135" s="1"/>
      <c r="K135" s="5"/>
      <c r="L135" s="5"/>
      <c r="M135" s="1"/>
      <c r="N135" s="1"/>
      <c r="O135" s="2"/>
      <c r="P135" s="1"/>
    </row>
    <row r="136" spans="2:16" x14ac:dyDescent="0.2">
      <c r="B136" s="1"/>
      <c r="C136" s="5"/>
      <c r="D136" s="31"/>
      <c r="E136" s="5"/>
      <c r="F136" s="5"/>
      <c r="G136" s="1"/>
      <c r="H136" s="1"/>
      <c r="I136" s="1"/>
      <c r="J136" s="1"/>
      <c r="K136" s="5"/>
      <c r="L136" s="5"/>
      <c r="M136" s="1"/>
      <c r="N136" s="1"/>
      <c r="O136" s="2"/>
      <c r="P136" s="1"/>
    </row>
    <row r="137" spans="2:16" x14ac:dyDescent="0.2">
      <c r="B137" s="1"/>
      <c r="C137" s="5"/>
      <c r="D137" s="31"/>
      <c r="E137" s="5"/>
      <c r="F137" s="5"/>
      <c r="G137" s="1"/>
      <c r="H137" s="1"/>
      <c r="I137" s="1"/>
      <c r="J137" s="1"/>
      <c r="K137" s="5"/>
      <c r="L137" s="5"/>
      <c r="M137" s="1"/>
      <c r="N137" s="1"/>
      <c r="O137" s="2"/>
      <c r="P137" s="1"/>
    </row>
    <row r="138" spans="2:16" x14ac:dyDescent="0.2">
      <c r="B138" s="1"/>
      <c r="C138" s="5"/>
      <c r="D138" s="31"/>
      <c r="E138" s="5"/>
      <c r="F138" s="5"/>
      <c r="G138" s="1"/>
      <c r="H138" s="1"/>
      <c r="I138" s="1"/>
      <c r="J138" s="1"/>
      <c r="K138" s="5"/>
      <c r="L138" s="5"/>
      <c r="M138" s="1"/>
      <c r="N138" s="1"/>
      <c r="O138" s="2"/>
      <c r="P138" s="1"/>
    </row>
    <row r="139" spans="2:16" x14ac:dyDescent="0.2">
      <c r="B139" s="1"/>
      <c r="C139" s="5"/>
      <c r="D139" s="31"/>
      <c r="E139" s="5"/>
      <c r="F139" s="5"/>
      <c r="G139" s="1"/>
      <c r="H139" s="1"/>
      <c r="I139" s="1"/>
      <c r="J139" s="1"/>
      <c r="K139" s="5"/>
      <c r="L139" s="5"/>
      <c r="M139" s="1"/>
      <c r="N139" s="1"/>
      <c r="O139" s="2"/>
      <c r="P139" s="1"/>
    </row>
    <row r="140" spans="2:16" x14ac:dyDescent="0.2">
      <c r="B140" s="1"/>
      <c r="C140" s="5"/>
      <c r="D140" s="31"/>
      <c r="E140" s="5"/>
      <c r="F140" s="5"/>
      <c r="G140" s="1"/>
      <c r="H140" s="1"/>
      <c r="I140" s="1"/>
      <c r="J140" s="1"/>
      <c r="K140" s="5"/>
      <c r="L140" s="5"/>
      <c r="M140" s="1"/>
      <c r="N140" s="1"/>
      <c r="O140" s="2"/>
      <c r="P140" s="1"/>
    </row>
    <row r="141" spans="2:16" x14ac:dyDescent="0.2">
      <c r="B141" s="1"/>
      <c r="C141" s="5"/>
      <c r="D141" s="31"/>
      <c r="E141" s="5"/>
      <c r="F141" s="5"/>
      <c r="G141" s="1"/>
      <c r="H141" s="1"/>
      <c r="I141" s="1"/>
      <c r="J141" s="1"/>
      <c r="K141" s="5"/>
      <c r="L141" s="5"/>
      <c r="M141" s="1"/>
      <c r="N141" s="1"/>
      <c r="O141" s="2"/>
      <c r="P141" s="1"/>
    </row>
    <row r="142" spans="2:16" x14ac:dyDescent="0.2">
      <c r="B142" s="1"/>
      <c r="C142" s="5"/>
      <c r="D142" s="31"/>
      <c r="E142" s="5"/>
      <c r="F142" s="5"/>
      <c r="G142" s="1"/>
      <c r="H142" s="1"/>
      <c r="I142" s="1"/>
      <c r="J142" s="1"/>
      <c r="K142" s="5"/>
      <c r="L142" s="5"/>
      <c r="M142" s="1"/>
      <c r="N142" s="1"/>
      <c r="O142" s="2"/>
      <c r="P142" s="1"/>
    </row>
  </sheetData>
  <mergeCells count="44">
    <mergeCell ref="B131:B132"/>
    <mergeCell ref="C131:C132"/>
    <mergeCell ref="C106:E106"/>
    <mergeCell ref="C107:E107"/>
    <mergeCell ref="C108:E108"/>
    <mergeCell ref="B114:C114"/>
    <mergeCell ref="B127:B128"/>
    <mergeCell ref="C127:C128"/>
    <mergeCell ref="F99:F102"/>
    <mergeCell ref="G99:G102"/>
    <mergeCell ref="H99:I99"/>
    <mergeCell ref="H100:I100"/>
    <mergeCell ref="H101:I101"/>
    <mergeCell ref="H102:I102"/>
    <mergeCell ref="A84:A97"/>
    <mergeCell ref="B84:D84"/>
    <mergeCell ref="E84:K84"/>
    <mergeCell ref="E97:J97"/>
    <mergeCell ref="B68:D68"/>
    <mergeCell ref="A69:A82"/>
    <mergeCell ref="B69:D69"/>
    <mergeCell ref="E69:K69"/>
    <mergeCell ref="E82:J82"/>
    <mergeCell ref="A53:A66"/>
    <mergeCell ref="B53:D53"/>
    <mergeCell ref="E53:K53"/>
    <mergeCell ref="E66:J66"/>
    <mergeCell ref="A22:A35"/>
    <mergeCell ref="B22:D22"/>
    <mergeCell ref="E22:K22"/>
    <mergeCell ref="E35:J35"/>
    <mergeCell ref="A38:A51"/>
    <mergeCell ref="B38:D38"/>
    <mergeCell ref="E38:K38"/>
    <mergeCell ref="E51:J51"/>
    <mergeCell ref="A1:K1"/>
    <mergeCell ref="A2:K2"/>
    <mergeCell ref="A3:K3"/>
    <mergeCell ref="A5:K5"/>
    <mergeCell ref="A7:A20"/>
    <mergeCell ref="B7:D7"/>
    <mergeCell ref="E7:K7"/>
    <mergeCell ref="B20:D20"/>
    <mergeCell ref="E20:J20"/>
  </mergeCells>
  <pageMargins left="0.7" right="0.7" top="0.75" bottom="0.75" header="0.3" footer="0.3"/>
  <pageSetup orientation="portrait" r:id="rId1"/>
  <ignoredErrors>
    <ignoredError sqref="F75:F7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D5C2-04E2-4466-A8F4-206D30CAA692}">
  <dimension ref="A1:O26"/>
  <sheetViews>
    <sheetView topLeftCell="A4" workbookViewId="0">
      <selection activeCell="N23" sqref="N23"/>
    </sheetView>
  </sheetViews>
  <sheetFormatPr baseColWidth="10" defaultColWidth="11.5" defaultRowHeight="15" x14ac:dyDescent="0.2"/>
  <cols>
    <col min="1" max="1" width="11.5" style="77"/>
    <col min="2" max="2" width="40.33203125" style="77" customWidth="1"/>
    <col min="3" max="3" width="24.6640625" style="77" customWidth="1"/>
    <col min="4" max="4" width="15.1640625" style="77" bestFit="1" customWidth="1"/>
    <col min="5" max="5" width="11.6640625" style="77" bestFit="1" customWidth="1"/>
    <col min="6" max="6" width="9.33203125" style="77" customWidth="1"/>
    <col min="7" max="9" width="11.5" style="77" bestFit="1" customWidth="1"/>
    <col min="10" max="10" width="17.6640625" style="77" bestFit="1" customWidth="1"/>
    <col min="11" max="11" width="17.6640625" style="77" customWidth="1"/>
    <col min="12" max="12" width="11.5" style="77" bestFit="1" customWidth="1"/>
    <col min="13" max="14" width="15" style="77" bestFit="1" customWidth="1"/>
    <col min="15" max="15" width="11.83203125" style="77" bestFit="1" customWidth="1"/>
    <col min="16" max="16384" width="11.5" style="77"/>
  </cols>
  <sheetData>
    <row r="1" spans="1:15" ht="31.5" customHeight="1" x14ac:dyDescent="0.2">
      <c r="A1" s="199" t="s">
        <v>185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 ht="32" x14ac:dyDescent="0.2">
      <c r="A2" s="91"/>
      <c r="B2" s="92" t="s">
        <v>23</v>
      </c>
      <c r="C2" s="93" t="s">
        <v>146</v>
      </c>
      <c r="D2" s="94"/>
      <c r="E2" s="91"/>
      <c r="F2" s="91"/>
      <c r="G2" s="91"/>
      <c r="H2" s="91"/>
      <c r="I2" s="95"/>
      <c r="J2" s="91"/>
      <c r="K2" s="91"/>
      <c r="L2" s="91"/>
      <c r="M2" s="91"/>
      <c r="N2" s="96"/>
    </row>
    <row r="3" spans="1:15" ht="16" x14ac:dyDescent="0.2">
      <c r="A3" s="91"/>
      <c r="B3" s="141" t="s">
        <v>147</v>
      </c>
      <c r="C3" s="142">
        <v>0.55969999999999998</v>
      </c>
      <c r="D3" s="99"/>
      <c r="E3" s="91"/>
      <c r="F3" s="91"/>
      <c r="G3" s="91"/>
      <c r="H3" s="91"/>
      <c r="I3" s="95"/>
      <c r="J3" s="91"/>
      <c r="K3" s="91"/>
      <c r="L3" s="91"/>
      <c r="M3" s="91"/>
      <c r="N3" s="96"/>
    </row>
    <row r="4" spans="1:15" ht="16" x14ac:dyDescent="0.2">
      <c r="A4" s="91"/>
      <c r="B4" s="97" t="s">
        <v>148</v>
      </c>
      <c r="C4" s="98">
        <v>0.55969999999999998</v>
      </c>
      <c r="D4" s="99"/>
      <c r="E4" s="91"/>
      <c r="F4" s="91"/>
      <c r="G4" s="91"/>
      <c r="H4" s="91"/>
      <c r="I4" s="95"/>
      <c r="J4" s="95"/>
      <c r="K4" s="95"/>
      <c r="L4" s="91"/>
      <c r="M4" s="91"/>
      <c r="N4" s="96"/>
    </row>
    <row r="5" spans="1:15" ht="32" x14ac:dyDescent="0.2">
      <c r="A5" s="91"/>
      <c r="B5" s="97" t="s">
        <v>149</v>
      </c>
      <c r="C5" s="98">
        <v>0.44030000000000002</v>
      </c>
      <c r="D5" s="99"/>
      <c r="E5" s="91"/>
      <c r="F5" s="91"/>
      <c r="G5" s="91"/>
      <c r="H5" s="91"/>
      <c r="I5" s="95"/>
      <c r="J5" s="100"/>
      <c r="K5" s="100"/>
      <c r="L5" s="91"/>
      <c r="M5" s="91"/>
      <c r="N5" s="96"/>
    </row>
    <row r="6" spans="1:15" x14ac:dyDescent="0.2">
      <c r="A6" s="91"/>
      <c r="B6" s="101"/>
      <c r="C6" s="102"/>
      <c r="D6" s="102"/>
      <c r="E6" s="91"/>
      <c r="F6" s="91"/>
      <c r="G6" s="91"/>
      <c r="H6" s="91"/>
      <c r="I6" s="95"/>
      <c r="J6" s="95"/>
      <c r="K6" s="95"/>
      <c r="L6" s="91"/>
      <c r="M6" s="91"/>
      <c r="N6" s="96"/>
    </row>
    <row r="7" spans="1:15" x14ac:dyDescent="0.2">
      <c r="A7" s="91"/>
      <c r="B7" s="130" t="s">
        <v>153</v>
      </c>
      <c r="C7" s="136">
        <f>1000000</f>
        <v>1000000</v>
      </c>
      <c r="D7" s="91"/>
      <c r="E7" s="91"/>
      <c r="G7" s="91"/>
      <c r="H7" s="91"/>
      <c r="I7" s="95"/>
      <c r="J7" s="95"/>
      <c r="K7" s="95"/>
      <c r="L7" s="91"/>
      <c r="M7" s="91"/>
      <c r="N7" s="96"/>
    </row>
    <row r="8" spans="1:15" ht="15" customHeight="1" x14ac:dyDescent="0.2">
      <c r="A8" s="91"/>
      <c r="B8" s="130" t="s">
        <v>154</v>
      </c>
      <c r="C8" s="131">
        <v>8.8000000000000007</v>
      </c>
      <c r="G8" s="91"/>
      <c r="H8" s="197" t="s">
        <v>160</v>
      </c>
      <c r="I8" s="197"/>
      <c r="J8" s="197"/>
      <c r="K8" s="197"/>
      <c r="L8" s="197"/>
      <c r="M8" s="197"/>
      <c r="N8" s="96"/>
    </row>
    <row r="9" spans="1:15" x14ac:dyDescent="0.2">
      <c r="A9" s="91"/>
      <c r="B9" s="130" t="s">
        <v>150</v>
      </c>
      <c r="C9" s="134">
        <f>+C7*C8</f>
        <v>8800000</v>
      </c>
      <c r="D9" s="99"/>
      <c r="E9" s="91"/>
      <c r="F9" s="91"/>
      <c r="G9" s="91"/>
      <c r="H9" s="197"/>
      <c r="I9" s="197"/>
      <c r="J9" s="197"/>
      <c r="K9" s="197"/>
      <c r="L9" s="197"/>
      <c r="M9" s="197"/>
      <c r="N9" s="96"/>
    </row>
    <row r="10" spans="1:15" x14ac:dyDescent="0.2">
      <c r="A10" s="91"/>
      <c r="B10" s="133" t="s">
        <v>151</v>
      </c>
      <c r="C10" s="134">
        <v>6000</v>
      </c>
      <c r="D10" s="99"/>
      <c r="E10" s="91"/>
      <c r="F10" s="91"/>
      <c r="G10" s="91"/>
      <c r="H10" s="197"/>
      <c r="I10" s="197"/>
      <c r="J10" s="197"/>
      <c r="K10" s="197"/>
      <c r="L10" s="197"/>
      <c r="M10" s="197"/>
      <c r="N10" s="96"/>
    </row>
    <row r="11" spans="1:15" ht="32" x14ac:dyDescent="0.2">
      <c r="A11" s="91"/>
      <c r="B11" s="137" t="s">
        <v>152</v>
      </c>
      <c r="C11" s="135">
        <f>+C10+C9</f>
        <v>8806000</v>
      </c>
      <c r="D11" s="99"/>
      <c r="E11" s="91"/>
      <c r="F11" s="91"/>
      <c r="G11" s="91"/>
      <c r="H11" s="197"/>
      <c r="I11" s="197"/>
      <c r="J11" s="197"/>
      <c r="K11" s="197"/>
      <c r="L11" s="197"/>
      <c r="M11" s="197"/>
      <c r="N11" s="96"/>
    </row>
    <row r="12" spans="1:15" x14ac:dyDescent="0.2">
      <c r="A12" s="91"/>
      <c r="B12"/>
      <c r="C12" s="132"/>
      <c r="D12" s="99"/>
      <c r="E12" s="91"/>
      <c r="F12" s="91"/>
      <c r="G12" s="91"/>
      <c r="H12" s="91"/>
      <c r="I12" s="95"/>
      <c r="J12" s="103"/>
      <c r="K12" s="103"/>
      <c r="L12" s="91"/>
      <c r="M12" s="91"/>
      <c r="N12" s="96"/>
    </row>
    <row r="13" spans="1:15" x14ac:dyDescent="0.2">
      <c r="A13" s="91"/>
      <c r="B13" s="104"/>
      <c r="C13" s="95"/>
      <c r="D13" s="91"/>
      <c r="E13" s="91"/>
      <c r="F13" s="91"/>
      <c r="G13" s="91"/>
      <c r="H13" s="91"/>
      <c r="I13" s="95"/>
      <c r="J13" s="95">
        <v>2022</v>
      </c>
      <c r="K13" s="95">
        <v>2023</v>
      </c>
      <c r="L13" s="91"/>
      <c r="M13" s="91"/>
      <c r="N13" s="96"/>
      <c r="O13" s="145"/>
    </row>
    <row r="14" spans="1:15" ht="32" x14ac:dyDescent="0.2">
      <c r="A14" s="198" t="s">
        <v>29</v>
      </c>
      <c r="B14" s="198"/>
      <c r="C14" s="105" t="s">
        <v>30</v>
      </c>
      <c r="D14" s="106" t="s">
        <v>28</v>
      </c>
      <c r="E14" s="106" t="s">
        <v>31</v>
      </c>
      <c r="F14" s="106" t="s">
        <v>155</v>
      </c>
      <c r="G14" s="107" t="s">
        <v>33</v>
      </c>
      <c r="H14" s="107" t="s">
        <v>34</v>
      </c>
      <c r="I14" s="107" t="s">
        <v>35</v>
      </c>
      <c r="J14" s="108" t="s">
        <v>36</v>
      </c>
      <c r="K14" s="147" t="s">
        <v>165</v>
      </c>
      <c r="L14" s="109" t="s">
        <v>37</v>
      </c>
      <c r="M14" s="110" t="s">
        <v>161</v>
      </c>
      <c r="N14" s="106" t="s">
        <v>38</v>
      </c>
    </row>
    <row r="15" spans="1:15" ht="16" x14ac:dyDescent="0.2">
      <c r="A15" s="111" t="str">
        <f>+'Servicios CLASE'!C4</f>
        <v>A</v>
      </c>
      <c r="B15" s="112" t="str">
        <f>+'Servicios CLASE'!C5</f>
        <v>24 HORAS PERMANENTE CON ARMA</v>
      </c>
      <c r="C15" s="113">
        <f>+C7</f>
        <v>1000000</v>
      </c>
      <c r="D15" s="114">
        <v>8.8000000000000007</v>
      </c>
      <c r="E15" s="115">
        <v>0.55969999999999998</v>
      </c>
      <c r="F15" s="116">
        <v>30</v>
      </c>
      <c r="G15" s="116">
        <v>30</v>
      </c>
      <c r="H15" s="111"/>
      <c r="I15" s="116">
        <v>24</v>
      </c>
      <c r="J15" s="117">
        <f>+C11</f>
        <v>8806000</v>
      </c>
      <c r="K15" s="148">
        <f>+J15*0.1+J15</f>
        <v>9686600</v>
      </c>
      <c r="L15" s="118">
        <v>0.1</v>
      </c>
      <c r="M15" s="119">
        <f t="shared" ref="M15:M23" si="0">+J15*L15</f>
        <v>880600</v>
      </c>
      <c r="N15" s="116">
        <f>+K15+M15</f>
        <v>10567200</v>
      </c>
    </row>
    <row r="16" spans="1:15" ht="16" x14ac:dyDescent="0.2">
      <c r="A16" s="111" t="str">
        <f>+'Servicios CLASE'!D4</f>
        <v>B</v>
      </c>
      <c r="B16" s="112" t="str">
        <f>+'Servicios CLASE'!D5</f>
        <v>24 HORAS PERMANENTE SIN ARMA</v>
      </c>
      <c r="C16" s="113">
        <f>+C15</f>
        <v>1000000</v>
      </c>
      <c r="D16" s="114">
        <v>8.8000000000000007</v>
      </c>
      <c r="E16" s="115">
        <v>0.55969999999999998</v>
      </c>
      <c r="F16" s="116">
        <v>30</v>
      </c>
      <c r="G16" s="116">
        <v>30</v>
      </c>
      <c r="H16" s="111"/>
      <c r="I16" s="116">
        <v>24</v>
      </c>
      <c r="J16" s="117">
        <f>+C11</f>
        <v>8806000</v>
      </c>
      <c r="K16" s="148">
        <f t="shared" ref="K16:K23" si="1">+J16*0.1+J16</f>
        <v>9686600</v>
      </c>
      <c r="L16" s="118">
        <v>0.08</v>
      </c>
      <c r="M16" s="119">
        <f t="shared" si="0"/>
        <v>704480</v>
      </c>
      <c r="N16" s="116">
        <f t="shared" ref="N16:N22" si="2">+K16+M16</f>
        <v>10391080</v>
      </c>
    </row>
    <row r="17" spans="1:14" ht="32" x14ac:dyDescent="0.2">
      <c r="A17" s="139" t="str">
        <f>+'Servicios CLASE'!E4</f>
        <v>C</v>
      </c>
      <c r="B17" s="138" t="str">
        <f>+'Servicios CLASE'!E5</f>
        <v>15 HORAS L-S (6:00 AM A 9:00 PM) SIN FESTIVO SIN ARMA</v>
      </c>
      <c r="C17" s="140">
        <f>+C16</f>
        <v>1000000</v>
      </c>
      <c r="D17" s="121">
        <v>8.8000000000000007</v>
      </c>
      <c r="E17" s="122">
        <v>0.55969999999999998</v>
      </c>
      <c r="F17" s="123">
        <v>30</v>
      </c>
      <c r="G17" s="124">
        <v>24</v>
      </c>
      <c r="H17" s="120">
        <v>15</v>
      </c>
      <c r="I17" s="123">
        <v>15</v>
      </c>
      <c r="J17" s="117">
        <f>+((((C11*E17)/F17)*G17)/H17)*I17</f>
        <v>3942974.6</v>
      </c>
      <c r="K17" s="148">
        <f t="shared" si="1"/>
        <v>4337272.0999999996</v>
      </c>
      <c r="L17" s="125">
        <v>0.08</v>
      </c>
      <c r="M17" s="126">
        <f t="shared" si="0"/>
        <v>315438</v>
      </c>
      <c r="N17" s="116">
        <f t="shared" si="2"/>
        <v>4652710</v>
      </c>
    </row>
    <row r="18" spans="1:14" ht="32" x14ac:dyDescent="0.2">
      <c r="A18" s="139" t="str">
        <f>+'Servicios CLASE'!F4</f>
        <v>D</v>
      </c>
      <c r="B18" s="138" t="str">
        <f>+'Servicios CLASE'!F5</f>
        <v>10 HORAS L-S (7:00 AM A  5:00PM) SIN FESTIVO SIN ARMA</v>
      </c>
      <c r="C18" s="140">
        <f>+C17</f>
        <v>1000000</v>
      </c>
      <c r="D18" s="121">
        <v>8.8000000000000007</v>
      </c>
      <c r="E18" s="122">
        <v>0.55969999999999998</v>
      </c>
      <c r="F18" s="123">
        <v>30</v>
      </c>
      <c r="G18" s="124">
        <v>24</v>
      </c>
      <c r="H18" s="120">
        <v>15</v>
      </c>
      <c r="I18" s="123">
        <v>10</v>
      </c>
      <c r="J18" s="117">
        <f>+((((C$11*E18)/F18)*G18)/H18)*I18</f>
        <v>2628649.7000000002</v>
      </c>
      <c r="K18" s="148">
        <f t="shared" si="1"/>
        <v>2891514.7</v>
      </c>
      <c r="L18" s="125">
        <v>0.08</v>
      </c>
      <c r="M18" s="126">
        <f t="shared" si="0"/>
        <v>210292</v>
      </c>
      <c r="N18" s="116">
        <f t="shared" si="2"/>
        <v>3101807</v>
      </c>
    </row>
    <row r="19" spans="1:14" ht="16" x14ac:dyDescent="0.2">
      <c r="A19" s="111" t="str">
        <f>+'Servicios CLASE'!G4</f>
        <v>E</v>
      </c>
      <c r="B19" s="112" t="str">
        <f>+'Servicios CLASE'!G5</f>
        <v>CANINO 24 HORAS PERMANENTE</v>
      </c>
      <c r="C19" s="113">
        <f>+C18</f>
        <v>1000000</v>
      </c>
      <c r="D19" s="114">
        <v>8.8000000000000007</v>
      </c>
      <c r="E19" s="115">
        <v>0.55969999999999998</v>
      </c>
      <c r="F19" s="116">
        <v>30</v>
      </c>
      <c r="G19" s="127">
        <v>30</v>
      </c>
      <c r="H19" s="111"/>
      <c r="I19" s="116">
        <v>24</v>
      </c>
      <c r="J19" s="117">
        <f>+C11</f>
        <v>8806000</v>
      </c>
      <c r="K19" s="148">
        <f t="shared" si="1"/>
        <v>9686600</v>
      </c>
      <c r="L19" s="118">
        <v>0.11</v>
      </c>
      <c r="M19" s="119">
        <f t="shared" si="0"/>
        <v>968660</v>
      </c>
      <c r="N19" s="116">
        <f t="shared" si="2"/>
        <v>10655260</v>
      </c>
    </row>
    <row r="20" spans="1:14" ht="32" x14ac:dyDescent="0.2">
      <c r="A20" s="139" t="str">
        <f>+'Servicios CLASE'!H4</f>
        <v>F</v>
      </c>
      <c r="B20" s="138" t="str">
        <f>+'Servicios CLASE'!H5</f>
        <v>12 HORAS DE LUNES A SABADO (6:00 AM A 6:00 PM) SIN FESTIVO SIN ARMA</v>
      </c>
      <c r="C20" s="140">
        <f>+C21</f>
        <v>1000000</v>
      </c>
      <c r="D20" s="121">
        <v>8.8000000000000007</v>
      </c>
      <c r="E20" s="122">
        <v>0.55969999999999998</v>
      </c>
      <c r="F20" s="123">
        <v>30</v>
      </c>
      <c r="G20" s="124">
        <v>24</v>
      </c>
      <c r="H20" s="120">
        <v>15</v>
      </c>
      <c r="I20" s="123">
        <v>12</v>
      </c>
      <c r="J20" s="117">
        <f t="shared" ref="J20:J22" si="3">+((((C$11*E20)/F20)*G20)/H20)*I20</f>
        <v>3154379.6</v>
      </c>
      <c r="K20" s="148">
        <f t="shared" si="1"/>
        <v>3469817.6</v>
      </c>
      <c r="L20" s="125">
        <v>0.08</v>
      </c>
      <c r="M20" s="126">
        <f t="shared" si="0"/>
        <v>252350</v>
      </c>
      <c r="N20" s="116">
        <f t="shared" si="2"/>
        <v>3722168</v>
      </c>
    </row>
    <row r="21" spans="1:14" ht="32" x14ac:dyDescent="0.2">
      <c r="A21" s="139" t="str">
        <f>+'Servicios CLASE'!I4</f>
        <v>G</v>
      </c>
      <c r="B21" s="138" t="str">
        <f>+'Servicios CLASE'!I5</f>
        <v>13 HORAS DE LUNES A SÁBADO (6:00 AM A 07:00 PM) SIN FESTIVO CON ARMA</v>
      </c>
      <c r="C21" s="140">
        <f>+C19</f>
        <v>1000000</v>
      </c>
      <c r="D21" s="121">
        <v>8.8000000000000007</v>
      </c>
      <c r="E21" s="122">
        <v>0.55969999999999998</v>
      </c>
      <c r="F21" s="123">
        <v>30</v>
      </c>
      <c r="G21" s="124">
        <v>24</v>
      </c>
      <c r="H21" s="120">
        <v>15</v>
      </c>
      <c r="I21" s="123">
        <v>13</v>
      </c>
      <c r="J21" s="117">
        <f t="shared" si="3"/>
        <v>3417244.6</v>
      </c>
      <c r="K21" s="148">
        <f t="shared" si="1"/>
        <v>3758969.1</v>
      </c>
      <c r="L21" s="125">
        <v>0.1</v>
      </c>
      <c r="M21" s="126">
        <f t="shared" si="0"/>
        <v>341724</v>
      </c>
      <c r="N21" s="116">
        <f t="shared" si="2"/>
        <v>4100693</v>
      </c>
    </row>
    <row r="22" spans="1:14" ht="32" x14ac:dyDescent="0.2">
      <c r="A22" s="139" t="str">
        <f>+'Servicios CLASE'!J4</f>
        <v>H</v>
      </c>
      <c r="B22" s="138" t="str">
        <f>+'Servicios CLASE'!J5</f>
        <v>14 HORAS DE LUNES A SÁBADO (7:00 AM A 09:00 PM) SIN FESTIVO SIN ARMA</v>
      </c>
      <c r="C22" s="140">
        <f>+C20</f>
        <v>1000000</v>
      </c>
      <c r="D22" s="121">
        <v>8.8000000000000007</v>
      </c>
      <c r="E22" s="122">
        <v>0.55969999999999998</v>
      </c>
      <c r="F22" s="123">
        <v>30</v>
      </c>
      <c r="G22" s="124">
        <v>24</v>
      </c>
      <c r="H22" s="120">
        <v>15</v>
      </c>
      <c r="I22" s="123">
        <v>14</v>
      </c>
      <c r="J22" s="117">
        <f t="shared" si="3"/>
        <v>3680109.6</v>
      </c>
      <c r="K22" s="148">
        <f t="shared" si="1"/>
        <v>4048120.6</v>
      </c>
      <c r="L22" s="125">
        <v>0.08</v>
      </c>
      <c r="M22" s="126">
        <f t="shared" si="0"/>
        <v>294409</v>
      </c>
      <c r="N22" s="116">
        <f t="shared" si="2"/>
        <v>4342530</v>
      </c>
    </row>
    <row r="23" spans="1:14" ht="16" x14ac:dyDescent="0.2">
      <c r="A23" s="164" t="str">
        <f>+'Servicios CLASE'!K4</f>
        <v>I</v>
      </c>
      <c r="B23" s="165" t="str">
        <f>+'Servicios CLASE'!K5</f>
        <v>SUPERVISION 24 HORAS PERMANENTE</v>
      </c>
      <c r="C23" s="166">
        <f>+C22</f>
        <v>1000000</v>
      </c>
      <c r="D23" s="167">
        <v>8.8000000000000007</v>
      </c>
      <c r="E23" s="168">
        <v>0.55969999999999998</v>
      </c>
      <c r="F23" s="169">
        <v>30</v>
      </c>
      <c r="G23" s="170">
        <v>30</v>
      </c>
      <c r="H23" s="164"/>
      <c r="I23" s="169">
        <v>24</v>
      </c>
      <c r="J23" s="117">
        <f>+C11</f>
        <v>8806000</v>
      </c>
      <c r="K23" s="148">
        <f t="shared" si="1"/>
        <v>9686600</v>
      </c>
      <c r="L23" s="171">
        <v>0.08</v>
      </c>
      <c r="M23" s="172">
        <f t="shared" si="0"/>
        <v>704480</v>
      </c>
      <c r="N23" s="169">
        <f>+K23+M23</f>
        <v>10391080</v>
      </c>
    </row>
    <row r="24" spans="1:14" x14ac:dyDescent="0.2">
      <c r="A24" s="91"/>
      <c r="B24" s="128"/>
      <c r="C24" s="128"/>
      <c r="D24" s="95"/>
      <c r="E24" s="91"/>
      <c r="F24" s="91"/>
      <c r="G24" s="91"/>
      <c r="H24" s="91"/>
      <c r="I24" s="95"/>
      <c r="J24" s="95"/>
      <c r="K24" s="95"/>
      <c r="L24" s="91"/>
      <c r="M24" s="91"/>
      <c r="N24" s="129"/>
    </row>
    <row r="25" spans="1:14" x14ac:dyDescent="0.2">
      <c r="A25" s="91"/>
      <c r="B25" s="95"/>
      <c r="C25" s="128"/>
      <c r="D25" s="95"/>
      <c r="E25" s="95"/>
      <c r="F25" s="91"/>
      <c r="G25" s="91"/>
      <c r="H25" s="91"/>
      <c r="I25" s="91"/>
      <c r="J25" s="95"/>
      <c r="K25" s="95"/>
      <c r="L25" s="95"/>
      <c r="M25" s="91"/>
      <c r="N25" s="91"/>
    </row>
    <row r="26" spans="1:14" x14ac:dyDescent="0.2">
      <c r="A26" s="91"/>
      <c r="B26" s="95"/>
      <c r="C26" s="128"/>
      <c r="D26" s="95"/>
      <c r="E26" s="95"/>
      <c r="F26" s="91"/>
      <c r="G26" s="91"/>
      <c r="H26" s="91"/>
      <c r="I26" s="91"/>
      <c r="J26" s="95"/>
      <c r="K26" s="95"/>
      <c r="L26" s="95"/>
      <c r="M26" s="91"/>
      <c r="N26" s="91"/>
    </row>
  </sheetData>
  <mergeCells count="3">
    <mergeCell ref="H8:M11"/>
    <mergeCell ref="A14:B14"/>
    <mergeCell ref="A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D8FF-EB2D-4DC7-980D-F8B477232E70}">
  <dimension ref="A1"/>
  <sheetViews>
    <sheetView workbookViewId="0">
      <selection activeCell="N17" sqref="N17"/>
    </sheetView>
  </sheetViews>
  <sheetFormatPr baseColWidth="10" defaultRowHeight="15" x14ac:dyDescent="0.2"/>
  <cols>
    <col min="12" max="12" width="19.164062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68D1F-1BE6-4D2E-8ACF-E6D18C4AA503}">
  <sheetPr>
    <tabColor theme="4" tint="0.79998168889431442"/>
  </sheetPr>
  <dimension ref="A1:AK67"/>
  <sheetViews>
    <sheetView zoomScale="70" zoomScaleNormal="70" workbookViewId="0">
      <selection activeCell="P21" sqref="P21"/>
    </sheetView>
  </sheetViews>
  <sheetFormatPr baseColWidth="10" defaultColWidth="11.5" defaultRowHeight="15" x14ac:dyDescent="0.2"/>
  <cols>
    <col min="2" max="2" width="49.33203125" customWidth="1"/>
    <col min="3" max="6" width="17.83203125" customWidth="1"/>
    <col min="7" max="7" width="21.1640625" customWidth="1"/>
    <col min="8" max="8" width="17.83203125" customWidth="1"/>
    <col min="9" max="9" width="30" customWidth="1"/>
    <col min="10" max="10" width="28" customWidth="1"/>
    <col min="11" max="11" width="22.1640625" customWidth="1"/>
    <col min="12" max="12" width="17.33203125" customWidth="1"/>
  </cols>
  <sheetData>
    <row r="1" spans="1:12" ht="22.5" customHeight="1" x14ac:dyDescent="0.2">
      <c r="A1" s="206" t="s">
        <v>92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x14ac:dyDescent="0.2">
      <c r="A2" s="77"/>
      <c r="B2" s="78"/>
      <c r="C2" s="79"/>
      <c r="D2" s="79"/>
      <c r="E2" s="79"/>
      <c r="F2" s="79"/>
      <c r="G2" s="79"/>
      <c r="H2" s="79"/>
      <c r="I2" s="79"/>
      <c r="J2" s="79"/>
      <c r="K2" s="79"/>
    </row>
    <row r="3" spans="1:12" ht="37.5" customHeight="1" x14ac:dyDescent="0.2">
      <c r="A3" s="207" t="s">
        <v>93</v>
      </c>
      <c r="B3" s="207"/>
      <c r="C3" s="203" t="s">
        <v>94</v>
      </c>
      <c r="D3" s="204"/>
      <c r="E3" s="204"/>
      <c r="F3" s="204"/>
      <c r="G3" s="204"/>
      <c r="H3" s="204"/>
      <c r="I3" s="204"/>
      <c r="J3" s="205"/>
      <c r="K3" s="163" t="s">
        <v>177</v>
      </c>
      <c r="L3" s="208" t="s">
        <v>95</v>
      </c>
    </row>
    <row r="4" spans="1:12" x14ac:dyDescent="0.2">
      <c r="A4" s="207"/>
      <c r="B4" s="207"/>
      <c r="C4" s="80" t="s">
        <v>11</v>
      </c>
      <c r="D4" s="80" t="s">
        <v>12</v>
      </c>
      <c r="E4" s="80" t="s">
        <v>13</v>
      </c>
      <c r="F4" s="80" t="s">
        <v>14</v>
      </c>
      <c r="G4" s="80" t="s">
        <v>15</v>
      </c>
      <c r="H4" s="80" t="s">
        <v>16</v>
      </c>
      <c r="I4" s="80" t="s">
        <v>18</v>
      </c>
      <c r="J4" s="80" t="s">
        <v>19</v>
      </c>
      <c r="K4" s="80" t="s">
        <v>46</v>
      </c>
      <c r="L4" s="208"/>
    </row>
    <row r="5" spans="1:12" ht="82.5" customHeight="1" x14ac:dyDescent="0.2">
      <c r="A5" s="207"/>
      <c r="B5" s="207"/>
      <c r="C5" s="90" t="s">
        <v>96</v>
      </c>
      <c r="D5" s="90" t="s">
        <v>97</v>
      </c>
      <c r="E5" s="90" t="s">
        <v>158</v>
      </c>
      <c r="F5" s="90" t="s">
        <v>156</v>
      </c>
      <c r="G5" s="90" t="s">
        <v>98</v>
      </c>
      <c r="H5" s="90" t="s">
        <v>157</v>
      </c>
      <c r="I5" s="90" t="s">
        <v>184</v>
      </c>
      <c r="J5" s="90" t="s">
        <v>159</v>
      </c>
      <c r="K5" s="90" t="s">
        <v>175</v>
      </c>
      <c r="L5" s="208"/>
    </row>
    <row r="6" spans="1:12" ht="15" customHeight="1" x14ac:dyDescent="0.2">
      <c r="A6" s="209" t="s">
        <v>99</v>
      </c>
      <c r="B6" s="81" t="s">
        <v>100</v>
      </c>
      <c r="C6" s="82">
        <v>1</v>
      </c>
      <c r="D6" s="82"/>
      <c r="E6" s="82"/>
      <c r="F6" s="82"/>
      <c r="G6" s="82"/>
      <c r="H6" s="82"/>
      <c r="I6" s="82"/>
      <c r="J6" s="82"/>
      <c r="K6" s="82"/>
      <c r="L6" s="82">
        <f>SUM(C6:K6)</f>
        <v>1</v>
      </c>
    </row>
    <row r="7" spans="1:12" ht="16" x14ac:dyDescent="0.2">
      <c r="A7" s="209"/>
      <c r="B7" s="81" t="s">
        <v>100</v>
      </c>
      <c r="C7" s="82"/>
      <c r="D7" s="82"/>
      <c r="E7" s="82">
        <v>3</v>
      </c>
      <c r="F7" s="82"/>
      <c r="G7" s="82"/>
      <c r="H7" s="82"/>
      <c r="I7" s="82"/>
      <c r="J7" s="82"/>
      <c r="K7" s="82"/>
      <c r="L7" s="82">
        <f t="shared" ref="L7:L49" si="0">SUM(C7:K7)</f>
        <v>3</v>
      </c>
    </row>
    <row r="8" spans="1:12" ht="16" x14ac:dyDescent="0.2">
      <c r="A8" s="209"/>
      <c r="B8" s="81" t="s">
        <v>100</v>
      </c>
      <c r="C8" s="82"/>
      <c r="D8" s="82"/>
      <c r="E8" s="82"/>
      <c r="F8" s="82">
        <v>2</v>
      </c>
      <c r="G8" s="82"/>
      <c r="H8" s="82"/>
      <c r="I8" s="82"/>
      <c r="J8" s="82"/>
      <c r="K8" s="82"/>
      <c r="L8" s="82">
        <f t="shared" si="0"/>
        <v>2</v>
      </c>
    </row>
    <row r="9" spans="1:12" ht="16" x14ac:dyDescent="0.2">
      <c r="A9" s="209"/>
      <c r="B9" s="81" t="s">
        <v>101</v>
      </c>
      <c r="C9" s="82">
        <v>1</v>
      </c>
      <c r="D9" s="82"/>
      <c r="E9" s="82"/>
      <c r="F9" s="82"/>
      <c r="G9" s="82"/>
      <c r="H9" s="82"/>
      <c r="I9" s="82"/>
      <c r="J9" s="82"/>
      <c r="K9" s="82"/>
      <c r="L9" s="82">
        <f t="shared" si="0"/>
        <v>1</v>
      </c>
    </row>
    <row r="10" spans="1:12" ht="16" x14ac:dyDescent="0.2">
      <c r="A10" s="209"/>
      <c r="B10" s="81" t="s">
        <v>102</v>
      </c>
      <c r="C10" s="82"/>
      <c r="D10" s="82"/>
      <c r="E10" s="82">
        <v>1</v>
      </c>
      <c r="F10" s="82"/>
      <c r="G10" s="82"/>
      <c r="H10" s="82"/>
      <c r="I10" s="82"/>
      <c r="J10" s="82"/>
      <c r="K10" s="82"/>
      <c r="L10" s="82">
        <f t="shared" si="0"/>
        <v>1</v>
      </c>
    </row>
    <row r="11" spans="1:12" ht="16" x14ac:dyDescent="0.2">
      <c r="A11" s="209"/>
      <c r="B11" s="81" t="s">
        <v>103</v>
      </c>
      <c r="C11" s="82">
        <v>1</v>
      </c>
      <c r="D11" s="82"/>
      <c r="E11" s="82"/>
      <c r="F11" s="82"/>
      <c r="G11" s="82"/>
      <c r="H11" s="82"/>
      <c r="I11" s="82"/>
      <c r="J11" s="82"/>
      <c r="K11" s="82"/>
      <c r="L11" s="82">
        <f t="shared" si="0"/>
        <v>1</v>
      </c>
    </row>
    <row r="12" spans="1:12" ht="16" x14ac:dyDescent="0.2">
      <c r="A12" s="209"/>
      <c r="B12" s="81" t="s">
        <v>104</v>
      </c>
      <c r="C12" s="82">
        <v>1</v>
      </c>
      <c r="D12" s="82"/>
      <c r="E12" s="82"/>
      <c r="F12" s="82"/>
      <c r="G12" s="82"/>
      <c r="H12" s="82"/>
      <c r="I12" s="82"/>
      <c r="J12" s="82"/>
      <c r="K12" s="82"/>
      <c r="L12" s="82">
        <f t="shared" si="0"/>
        <v>1</v>
      </c>
    </row>
    <row r="13" spans="1:12" ht="16" x14ac:dyDescent="0.2">
      <c r="A13" s="209"/>
      <c r="B13" s="81" t="s">
        <v>105</v>
      </c>
      <c r="C13" s="82"/>
      <c r="D13" s="82"/>
      <c r="E13" s="82">
        <v>1</v>
      </c>
      <c r="F13" s="82"/>
      <c r="G13" s="82"/>
      <c r="H13" s="82"/>
      <c r="I13" s="82"/>
      <c r="J13" s="82"/>
      <c r="K13" s="82"/>
      <c r="L13" s="82">
        <f t="shared" si="0"/>
        <v>1</v>
      </c>
    </row>
    <row r="14" spans="1:12" ht="16" x14ac:dyDescent="0.2">
      <c r="A14" s="209"/>
      <c r="B14" s="81" t="s">
        <v>106</v>
      </c>
      <c r="C14" s="82"/>
      <c r="D14" s="82"/>
      <c r="E14" s="82">
        <v>1</v>
      </c>
      <c r="F14" s="82"/>
      <c r="G14" s="82"/>
      <c r="H14" s="82"/>
      <c r="I14" s="82"/>
      <c r="J14" s="82"/>
      <c r="K14" s="82"/>
      <c r="L14" s="82">
        <f t="shared" si="0"/>
        <v>1</v>
      </c>
    </row>
    <row r="15" spans="1:12" ht="16" x14ac:dyDescent="0.2">
      <c r="A15" s="209"/>
      <c r="B15" s="81" t="s">
        <v>107</v>
      </c>
      <c r="C15" s="82"/>
      <c r="D15" s="82"/>
      <c r="E15" s="82">
        <v>1</v>
      </c>
      <c r="F15" s="82"/>
      <c r="G15" s="82"/>
      <c r="H15" s="82"/>
      <c r="I15" s="82"/>
      <c r="J15" s="82"/>
      <c r="K15" s="82"/>
      <c r="L15" s="82">
        <f t="shared" si="0"/>
        <v>1</v>
      </c>
    </row>
    <row r="16" spans="1:12" ht="16" x14ac:dyDescent="0.2">
      <c r="A16" s="209"/>
      <c r="B16" s="81" t="s">
        <v>108</v>
      </c>
      <c r="C16" s="82"/>
      <c r="D16" s="82"/>
      <c r="E16" s="82">
        <v>1</v>
      </c>
      <c r="F16" s="82"/>
      <c r="G16" s="82"/>
      <c r="H16" s="82"/>
      <c r="I16" s="82"/>
      <c r="J16" s="82"/>
      <c r="K16" s="82"/>
      <c r="L16" s="82">
        <f t="shared" si="0"/>
        <v>1</v>
      </c>
    </row>
    <row r="17" spans="1:12" ht="16" x14ac:dyDescent="0.2">
      <c r="A17" s="209"/>
      <c r="B17" s="81" t="s">
        <v>109</v>
      </c>
      <c r="C17" s="82"/>
      <c r="D17" s="82"/>
      <c r="E17" s="82">
        <v>1</v>
      </c>
      <c r="F17" s="82"/>
      <c r="G17" s="82"/>
      <c r="H17" s="82"/>
      <c r="I17" s="82"/>
      <c r="J17" s="82"/>
      <c r="K17" s="82"/>
      <c r="L17" s="82">
        <f t="shared" si="0"/>
        <v>1</v>
      </c>
    </row>
    <row r="18" spans="1:12" ht="16" x14ac:dyDescent="0.2">
      <c r="A18" s="209"/>
      <c r="B18" s="81" t="s">
        <v>110</v>
      </c>
      <c r="C18" s="82"/>
      <c r="D18" s="82"/>
      <c r="E18" s="82"/>
      <c r="F18" s="82"/>
      <c r="G18" s="82"/>
      <c r="H18" s="82">
        <v>1</v>
      </c>
      <c r="I18" s="82"/>
      <c r="J18" s="82"/>
      <c r="K18" s="82"/>
      <c r="L18" s="82">
        <f t="shared" si="0"/>
        <v>1</v>
      </c>
    </row>
    <row r="19" spans="1:12" ht="16" x14ac:dyDescent="0.2">
      <c r="A19" s="209"/>
      <c r="B19" s="81" t="s">
        <v>111</v>
      </c>
      <c r="C19" s="82"/>
      <c r="D19" s="82"/>
      <c r="E19" s="82"/>
      <c r="F19" s="82"/>
      <c r="G19" s="82"/>
      <c r="H19" s="82">
        <v>1</v>
      </c>
      <c r="I19" s="82"/>
      <c r="J19" s="82"/>
      <c r="K19" s="82"/>
      <c r="L19" s="82">
        <f t="shared" si="0"/>
        <v>1</v>
      </c>
    </row>
    <row r="20" spans="1:12" ht="16" x14ac:dyDescent="0.2">
      <c r="A20" s="209"/>
      <c r="B20" s="81" t="s">
        <v>112</v>
      </c>
      <c r="C20" s="82"/>
      <c r="D20" s="82"/>
      <c r="E20" s="82">
        <v>1</v>
      </c>
      <c r="F20" s="82"/>
      <c r="G20" s="82"/>
      <c r="H20" s="82"/>
      <c r="I20" s="82"/>
      <c r="J20" s="82"/>
      <c r="K20" s="82"/>
      <c r="L20" s="82">
        <f t="shared" si="0"/>
        <v>1</v>
      </c>
    </row>
    <row r="21" spans="1:12" ht="16" x14ac:dyDescent="0.2">
      <c r="A21" s="209"/>
      <c r="B21" s="81" t="s">
        <v>113</v>
      </c>
      <c r="C21" s="82"/>
      <c r="D21" s="82"/>
      <c r="E21" s="82">
        <v>1</v>
      </c>
      <c r="F21" s="82"/>
      <c r="G21" s="82"/>
      <c r="H21" s="82"/>
      <c r="I21" s="82"/>
      <c r="J21" s="82"/>
      <c r="K21" s="82"/>
      <c r="L21" s="82">
        <f t="shared" si="0"/>
        <v>1</v>
      </c>
    </row>
    <row r="22" spans="1:12" ht="16" x14ac:dyDescent="0.2">
      <c r="A22" s="209"/>
      <c r="B22" s="81" t="s">
        <v>114</v>
      </c>
      <c r="C22" s="82"/>
      <c r="D22" s="82"/>
      <c r="E22" s="82">
        <v>1</v>
      </c>
      <c r="F22" s="82"/>
      <c r="G22" s="82"/>
      <c r="H22" s="82"/>
      <c r="I22" s="82"/>
      <c r="J22" s="82"/>
      <c r="K22" s="82"/>
      <c r="L22" s="82">
        <f t="shared" si="0"/>
        <v>1</v>
      </c>
    </row>
    <row r="23" spans="1:12" ht="16" x14ac:dyDescent="0.2">
      <c r="A23" s="209"/>
      <c r="B23" s="81" t="s">
        <v>115</v>
      </c>
      <c r="C23" s="82">
        <v>1</v>
      </c>
      <c r="D23" s="82"/>
      <c r="E23" s="82"/>
      <c r="F23" s="82"/>
      <c r="G23" s="82"/>
      <c r="H23" s="82"/>
      <c r="I23" s="82"/>
      <c r="J23" s="82"/>
      <c r="K23" s="82"/>
      <c r="L23" s="82">
        <f t="shared" si="0"/>
        <v>1</v>
      </c>
    </row>
    <row r="24" spans="1:12" ht="15" customHeight="1" x14ac:dyDescent="0.2">
      <c r="A24" s="210" t="s">
        <v>116</v>
      </c>
      <c r="B24" s="81" t="s">
        <v>117</v>
      </c>
      <c r="C24" s="82">
        <v>1</v>
      </c>
      <c r="D24" s="82"/>
      <c r="E24" s="82"/>
      <c r="F24" s="82"/>
      <c r="G24" s="82"/>
      <c r="H24" s="82"/>
      <c r="I24" s="82"/>
      <c r="J24" s="82"/>
      <c r="K24" s="82"/>
      <c r="L24" s="82">
        <f t="shared" si="0"/>
        <v>1</v>
      </c>
    </row>
    <row r="25" spans="1:12" ht="16" x14ac:dyDescent="0.2">
      <c r="A25" s="210"/>
      <c r="B25" s="81" t="s">
        <v>118</v>
      </c>
      <c r="C25" s="82"/>
      <c r="D25" s="82"/>
      <c r="E25" s="82">
        <v>1</v>
      </c>
      <c r="F25" s="82"/>
      <c r="G25" s="82"/>
      <c r="H25" s="82"/>
      <c r="I25" s="82"/>
      <c r="J25" s="82"/>
      <c r="K25" s="82"/>
      <c r="L25" s="82">
        <f t="shared" si="0"/>
        <v>1</v>
      </c>
    </row>
    <row r="26" spans="1:12" ht="16" x14ac:dyDescent="0.2">
      <c r="A26" s="210"/>
      <c r="B26" s="81" t="s">
        <v>119</v>
      </c>
      <c r="C26" s="82">
        <v>1</v>
      </c>
      <c r="D26" s="82"/>
      <c r="E26" s="82"/>
      <c r="F26" s="82"/>
      <c r="G26" s="82"/>
      <c r="H26" s="82"/>
      <c r="I26" s="82"/>
      <c r="J26" s="82"/>
      <c r="K26" s="82"/>
      <c r="L26" s="82">
        <f t="shared" si="0"/>
        <v>1</v>
      </c>
    </row>
    <row r="27" spans="1:12" ht="16" x14ac:dyDescent="0.2">
      <c r="A27" s="210"/>
      <c r="B27" s="81" t="s">
        <v>120</v>
      </c>
      <c r="C27" s="82">
        <v>1</v>
      </c>
      <c r="D27" s="82"/>
      <c r="E27" s="82"/>
      <c r="F27" s="82"/>
      <c r="G27" s="82"/>
      <c r="H27" s="82"/>
      <c r="I27" s="82"/>
      <c r="J27" s="82"/>
      <c r="K27" s="82"/>
      <c r="L27" s="82">
        <f t="shared" si="0"/>
        <v>1</v>
      </c>
    </row>
    <row r="28" spans="1:12" ht="16" x14ac:dyDescent="0.2">
      <c r="A28" s="210"/>
      <c r="B28" s="81" t="s">
        <v>121</v>
      </c>
      <c r="C28" s="82"/>
      <c r="D28" s="82"/>
      <c r="E28" s="82">
        <v>1</v>
      </c>
      <c r="F28" s="82"/>
      <c r="G28" s="82"/>
      <c r="H28" s="82"/>
      <c r="I28" s="82"/>
      <c r="J28" s="82"/>
      <c r="K28" s="82"/>
      <c r="L28" s="82">
        <f t="shared" si="0"/>
        <v>1</v>
      </c>
    </row>
    <row r="29" spans="1:12" ht="16" x14ac:dyDescent="0.2">
      <c r="A29" s="210"/>
      <c r="B29" s="81" t="s">
        <v>122</v>
      </c>
      <c r="C29" s="82"/>
      <c r="D29" s="82"/>
      <c r="E29" s="82"/>
      <c r="F29" s="82"/>
      <c r="G29" s="82"/>
      <c r="H29" s="82"/>
      <c r="I29" s="82">
        <v>1</v>
      </c>
      <c r="J29" s="82"/>
      <c r="K29" s="82"/>
      <c r="L29" s="82">
        <f t="shared" si="0"/>
        <v>1</v>
      </c>
    </row>
    <row r="30" spans="1:12" ht="16" x14ac:dyDescent="0.2">
      <c r="A30" s="210"/>
      <c r="B30" s="81" t="s">
        <v>123</v>
      </c>
      <c r="C30" s="82">
        <v>1</v>
      </c>
      <c r="D30" s="82"/>
      <c r="E30" s="82"/>
      <c r="F30" s="82"/>
      <c r="G30" s="82"/>
      <c r="H30" s="82"/>
      <c r="I30" s="82"/>
      <c r="J30" s="82"/>
      <c r="K30" s="82"/>
      <c r="L30" s="82">
        <f t="shared" si="0"/>
        <v>1</v>
      </c>
    </row>
    <row r="31" spans="1:12" ht="16" x14ac:dyDescent="0.2">
      <c r="A31" s="210"/>
      <c r="B31" s="81" t="s">
        <v>123</v>
      </c>
      <c r="C31" s="82"/>
      <c r="D31" s="82"/>
      <c r="E31" s="82"/>
      <c r="F31" s="82"/>
      <c r="G31" s="82"/>
      <c r="H31" s="82"/>
      <c r="I31" s="82"/>
      <c r="J31" s="82">
        <v>1</v>
      </c>
      <c r="K31" s="82"/>
      <c r="L31" s="82">
        <f t="shared" si="0"/>
        <v>1</v>
      </c>
    </row>
    <row r="32" spans="1:12" ht="16" x14ac:dyDescent="0.2">
      <c r="A32" s="210"/>
      <c r="B32" s="81" t="s">
        <v>124</v>
      </c>
      <c r="C32" s="82">
        <v>1</v>
      </c>
      <c r="D32" s="82"/>
      <c r="E32" s="82"/>
      <c r="F32" s="82"/>
      <c r="G32" s="82"/>
      <c r="H32" s="82"/>
      <c r="I32" s="82"/>
      <c r="J32" s="82"/>
      <c r="K32" s="82"/>
      <c r="L32" s="82">
        <f t="shared" si="0"/>
        <v>1</v>
      </c>
    </row>
    <row r="33" spans="1:12" ht="16" x14ac:dyDescent="0.2">
      <c r="A33" s="210"/>
      <c r="B33" s="81" t="s">
        <v>124</v>
      </c>
      <c r="C33" s="82"/>
      <c r="D33" s="82"/>
      <c r="E33" s="82">
        <v>1</v>
      </c>
      <c r="F33" s="82"/>
      <c r="G33" s="82"/>
      <c r="H33" s="82"/>
      <c r="I33" s="82"/>
      <c r="J33" s="82"/>
      <c r="K33" s="82"/>
      <c r="L33" s="82">
        <f t="shared" si="0"/>
        <v>1</v>
      </c>
    </row>
    <row r="34" spans="1:12" ht="16" x14ac:dyDescent="0.2">
      <c r="A34" s="210"/>
      <c r="B34" s="81" t="s">
        <v>125</v>
      </c>
      <c r="C34" s="82">
        <v>1</v>
      </c>
      <c r="D34" s="82"/>
      <c r="E34" s="82"/>
      <c r="F34" s="82"/>
      <c r="G34" s="82"/>
      <c r="H34" s="82"/>
      <c r="I34" s="82"/>
      <c r="J34" s="82"/>
      <c r="K34" s="82"/>
      <c r="L34" s="82">
        <f t="shared" si="0"/>
        <v>1</v>
      </c>
    </row>
    <row r="35" spans="1:12" ht="16" x14ac:dyDescent="0.2">
      <c r="A35" s="210"/>
      <c r="B35" s="81" t="s">
        <v>125</v>
      </c>
      <c r="C35" s="82"/>
      <c r="D35" s="82"/>
      <c r="E35" s="82">
        <v>1</v>
      </c>
      <c r="F35" s="82"/>
      <c r="G35" s="82"/>
      <c r="H35" s="82"/>
      <c r="I35" s="82"/>
      <c r="J35" s="82"/>
      <c r="K35" s="82"/>
      <c r="L35" s="82">
        <f t="shared" si="0"/>
        <v>1</v>
      </c>
    </row>
    <row r="36" spans="1:12" ht="16" x14ac:dyDescent="0.2">
      <c r="A36" s="210"/>
      <c r="B36" s="81" t="s">
        <v>126</v>
      </c>
      <c r="C36" s="82">
        <v>1</v>
      </c>
      <c r="D36" s="82"/>
      <c r="E36" s="82"/>
      <c r="F36" s="82"/>
      <c r="G36" s="82"/>
      <c r="H36" s="82"/>
      <c r="I36" s="82"/>
      <c r="J36" s="82"/>
      <c r="K36" s="82"/>
      <c r="L36" s="82">
        <f t="shared" si="0"/>
        <v>1</v>
      </c>
    </row>
    <row r="37" spans="1:12" ht="16" x14ac:dyDescent="0.2">
      <c r="A37" s="210"/>
      <c r="B37" s="81" t="s">
        <v>127</v>
      </c>
      <c r="C37" s="82"/>
      <c r="D37" s="82"/>
      <c r="E37" s="82"/>
      <c r="F37" s="82"/>
      <c r="G37" s="82">
        <v>2</v>
      </c>
      <c r="H37" s="82"/>
      <c r="I37" s="82"/>
      <c r="J37" s="82"/>
      <c r="K37" s="82"/>
      <c r="L37" s="82">
        <f t="shared" si="0"/>
        <v>2</v>
      </c>
    </row>
    <row r="38" spans="1:12" ht="16" x14ac:dyDescent="0.2">
      <c r="A38" s="210"/>
      <c r="B38" s="81" t="s">
        <v>128</v>
      </c>
      <c r="C38" s="82"/>
      <c r="D38" s="82"/>
      <c r="E38" s="82"/>
      <c r="F38" s="82"/>
      <c r="G38" s="82"/>
      <c r="H38" s="82">
        <v>1</v>
      </c>
      <c r="I38" s="82"/>
      <c r="J38" s="82"/>
      <c r="K38" s="82"/>
      <c r="L38" s="82">
        <f t="shared" si="0"/>
        <v>1</v>
      </c>
    </row>
    <row r="39" spans="1:12" ht="16" x14ac:dyDescent="0.2">
      <c r="A39" s="210"/>
      <c r="B39" s="81" t="s">
        <v>129</v>
      </c>
      <c r="C39" s="82">
        <v>1</v>
      </c>
      <c r="D39" s="82"/>
      <c r="E39" s="82"/>
      <c r="F39" s="82"/>
      <c r="G39" s="82"/>
      <c r="H39" s="82"/>
      <c r="I39" s="82"/>
      <c r="J39" s="82"/>
      <c r="K39" s="82"/>
      <c r="L39" s="82">
        <f t="shared" si="0"/>
        <v>1</v>
      </c>
    </row>
    <row r="40" spans="1:12" ht="16" x14ac:dyDescent="0.2">
      <c r="A40" s="210"/>
      <c r="B40" s="81" t="s">
        <v>130</v>
      </c>
      <c r="C40" s="82">
        <v>1</v>
      </c>
      <c r="D40" s="82"/>
      <c r="E40" s="82"/>
      <c r="F40" s="82"/>
      <c r="G40" s="82"/>
      <c r="H40" s="82"/>
      <c r="I40" s="82"/>
      <c r="J40" s="82"/>
      <c r="K40" s="82"/>
      <c r="L40" s="82">
        <f t="shared" si="0"/>
        <v>1</v>
      </c>
    </row>
    <row r="41" spans="1:12" ht="16" x14ac:dyDescent="0.2">
      <c r="A41" s="210"/>
      <c r="B41" s="81" t="s">
        <v>131</v>
      </c>
      <c r="C41" s="82">
        <v>1</v>
      </c>
      <c r="D41" s="82"/>
      <c r="E41" s="82"/>
      <c r="F41" s="82"/>
      <c r="G41" s="82"/>
      <c r="H41" s="82"/>
      <c r="I41" s="82"/>
      <c r="J41" s="82"/>
      <c r="K41" s="82"/>
      <c r="L41" s="82">
        <f t="shared" si="0"/>
        <v>1</v>
      </c>
    </row>
    <row r="42" spans="1:12" ht="16" x14ac:dyDescent="0.2">
      <c r="A42" s="210"/>
      <c r="B42" s="81" t="s">
        <v>131</v>
      </c>
      <c r="C42" s="82"/>
      <c r="D42" s="82"/>
      <c r="E42" s="82">
        <v>1</v>
      </c>
      <c r="F42" s="82"/>
      <c r="G42" s="82"/>
      <c r="H42" s="82"/>
      <c r="I42" s="82"/>
      <c r="J42" s="82"/>
      <c r="K42" s="82"/>
      <c r="L42" s="82">
        <f t="shared" si="0"/>
        <v>1</v>
      </c>
    </row>
    <row r="43" spans="1:12" ht="16" x14ac:dyDescent="0.2">
      <c r="A43" s="210"/>
      <c r="B43" s="81" t="s">
        <v>132</v>
      </c>
      <c r="C43" s="82">
        <v>1</v>
      </c>
      <c r="D43" s="82"/>
      <c r="E43" s="82"/>
      <c r="F43" s="82"/>
      <c r="G43" s="82"/>
      <c r="H43" s="82"/>
      <c r="I43" s="82"/>
      <c r="J43" s="82"/>
      <c r="K43" s="82"/>
      <c r="L43" s="82">
        <f t="shared" si="0"/>
        <v>1</v>
      </c>
    </row>
    <row r="44" spans="1:12" ht="16" x14ac:dyDescent="0.2">
      <c r="A44" s="210"/>
      <c r="B44" s="81" t="s">
        <v>133</v>
      </c>
      <c r="C44" s="82">
        <v>1</v>
      </c>
      <c r="D44" s="82"/>
      <c r="E44" s="82"/>
      <c r="F44" s="82"/>
      <c r="G44" s="82"/>
      <c r="H44" s="82"/>
      <c r="I44" s="82"/>
      <c r="J44" s="82"/>
      <c r="K44" s="82"/>
      <c r="L44" s="82">
        <f t="shared" si="0"/>
        <v>1</v>
      </c>
    </row>
    <row r="45" spans="1:12" ht="16" x14ac:dyDescent="0.2">
      <c r="A45" s="210"/>
      <c r="B45" s="81" t="s">
        <v>133</v>
      </c>
      <c r="C45" s="82"/>
      <c r="D45" s="82"/>
      <c r="E45" s="82">
        <v>1</v>
      </c>
      <c r="F45" s="82"/>
      <c r="G45" s="82"/>
      <c r="H45" s="82"/>
      <c r="I45" s="82"/>
      <c r="J45" s="82"/>
      <c r="K45" s="82"/>
      <c r="L45" s="82">
        <f t="shared" si="0"/>
        <v>1</v>
      </c>
    </row>
    <row r="46" spans="1:12" ht="16" x14ac:dyDescent="0.2">
      <c r="A46" s="210"/>
      <c r="B46" s="81" t="s">
        <v>134</v>
      </c>
      <c r="C46" s="82"/>
      <c r="D46" s="82">
        <v>1</v>
      </c>
      <c r="E46" s="82"/>
      <c r="F46" s="82"/>
      <c r="G46" s="82"/>
      <c r="H46" s="82"/>
      <c r="I46" s="82"/>
      <c r="J46" s="82"/>
      <c r="K46" s="82"/>
      <c r="L46" s="82">
        <f t="shared" si="0"/>
        <v>1</v>
      </c>
    </row>
    <row r="47" spans="1:12" ht="16" x14ac:dyDescent="0.2">
      <c r="A47" s="201" t="s">
        <v>135</v>
      </c>
      <c r="B47" s="81" t="s">
        <v>136</v>
      </c>
      <c r="C47" s="82">
        <v>1</v>
      </c>
      <c r="D47" s="82"/>
      <c r="E47" s="82"/>
      <c r="F47" s="82"/>
      <c r="G47" s="82"/>
      <c r="H47" s="82"/>
      <c r="I47" s="82"/>
      <c r="J47" s="82"/>
      <c r="K47" s="82"/>
      <c r="L47" s="82">
        <f t="shared" si="0"/>
        <v>1</v>
      </c>
    </row>
    <row r="48" spans="1:12" ht="16" x14ac:dyDescent="0.2">
      <c r="A48" s="201"/>
      <c r="B48" s="81" t="s">
        <v>137</v>
      </c>
      <c r="C48" s="82">
        <v>1</v>
      </c>
      <c r="D48" s="82"/>
      <c r="E48" s="82"/>
      <c r="F48" s="82"/>
      <c r="G48" s="82"/>
      <c r="H48" s="82"/>
      <c r="I48" s="82"/>
      <c r="J48" s="82"/>
      <c r="K48" s="82"/>
      <c r="L48" s="82">
        <f t="shared" si="0"/>
        <v>1</v>
      </c>
    </row>
    <row r="49" spans="1:37" ht="31.5" customHeight="1" x14ac:dyDescent="0.2">
      <c r="A49" s="83" t="s">
        <v>138</v>
      </c>
      <c r="B49" s="84" t="s">
        <v>139</v>
      </c>
      <c r="C49" s="82"/>
      <c r="D49" s="82"/>
      <c r="E49" s="82"/>
      <c r="F49" s="82"/>
      <c r="G49" s="82"/>
      <c r="H49" s="82"/>
      <c r="I49" s="82"/>
      <c r="J49" s="82"/>
      <c r="K49" s="82">
        <v>1</v>
      </c>
      <c r="L49" s="82">
        <f t="shared" si="0"/>
        <v>1</v>
      </c>
    </row>
    <row r="50" spans="1:37" x14ac:dyDescent="0.2">
      <c r="A50" s="202" t="s">
        <v>140</v>
      </c>
      <c r="B50" s="202"/>
      <c r="C50" s="85">
        <f>SUM(C6:C49)</f>
        <v>19</v>
      </c>
      <c r="D50" s="85">
        <f>SUM(D6:D49)</f>
        <v>1</v>
      </c>
      <c r="E50" s="85">
        <f t="shared" ref="E50:K50" si="1">SUM(E6:E49)</f>
        <v>18</v>
      </c>
      <c r="F50" s="85">
        <f t="shared" si="1"/>
        <v>2</v>
      </c>
      <c r="G50" s="85">
        <f t="shared" si="1"/>
        <v>2</v>
      </c>
      <c r="H50" s="85">
        <f t="shared" si="1"/>
        <v>3</v>
      </c>
      <c r="I50" s="85">
        <f t="shared" si="1"/>
        <v>1</v>
      </c>
      <c r="J50" s="85">
        <f t="shared" si="1"/>
        <v>1</v>
      </c>
      <c r="K50" s="153">
        <f t="shared" si="1"/>
        <v>1</v>
      </c>
      <c r="L50" s="86">
        <f>SUM(L6:L49)</f>
        <v>48</v>
      </c>
    </row>
    <row r="51" spans="1:37" x14ac:dyDescent="0.2"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</row>
    <row r="52" spans="1:37" x14ac:dyDescent="0.2"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</row>
    <row r="53" spans="1:37" x14ac:dyDescent="0.2"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</row>
    <row r="54" spans="1:37" x14ac:dyDescent="0.2"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</row>
    <row r="55" spans="1:37" x14ac:dyDescent="0.2"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</row>
    <row r="56" spans="1:37" x14ac:dyDescent="0.2"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</row>
    <row r="57" spans="1:37" x14ac:dyDescent="0.2"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</row>
    <row r="58" spans="1:37" x14ac:dyDescent="0.2"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</row>
    <row r="59" spans="1:37" x14ac:dyDescent="0.2"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</row>
    <row r="60" spans="1:37" x14ac:dyDescent="0.2"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</row>
    <row r="61" spans="1:37" x14ac:dyDescent="0.2"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</row>
    <row r="62" spans="1:37" x14ac:dyDescent="0.2"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</row>
    <row r="63" spans="1:37" x14ac:dyDescent="0.2"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</row>
    <row r="64" spans="1:37" x14ac:dyDescent="0.2"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</row>
    <row r="65" spans="3:15" x14ac:dyDescent="0.2"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</row>
    <row r="66" spans="3:15" x14ac:dyDescent="0.2"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</row>
    <row r="67" spans="3:15" x14ac:dyDescent="0.2"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</row>
  </sheetData>
  <mergeCells count="8">
    <mergeCell ref="A47:A48"/>
    <mergeCell ref="A50:B50"/>
    <mergeCell ref="C3:J3"/>
    <mergeCell ref="A1:L1"/>
    <mergeCell ref="A3:B5"/>
    <mergeCell ref="L3:L5"/>
    <mergeCell ref="A6:A23"/>
    <mergeCell ref="A24:A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652A-75EB-4BBC-A457-A80110C54561}">
  <sheetPr>
    <tabColor theme="5" tint="0.39997558519241921"/>
  </sheetPr>
  <dimension ref="A1:L66"/>
  <sheetViews>
    <sheetView zoomScale="85" zoomScaleNormal="85" workbookViewId="0">
      <selection activeCell="K5" sqref="K5"/>
    </sheetView>
  </sheetViews>
  <sheetFormatPr baseColWidth="10" defaultColWidth="11.5" defaultRowHeight="15" x14ac:dyDescent="0.2"/>
  <cols>
    <col min="2" max="2" width="49.33203125" customWidth="1"/>
    <col min="3" max="7" width="16.5" customWidth="1"/>
    <col min="8" max="11" width="22.6640625" customWidth="1"/>
  </cols>
  <sheetData>
    <row r="1" spans="1:12" ht="22.5" customHeight="1" x14ac:dyDescent="0.2">
      <c r="A1" s="206" t="s">
        <v>145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x14ac:dyDescent="0.2">
      <c r="A2" s="77"/>
      <c r="B2" s="78"/>
      <c r="C2" s="79"/>
      <c r="D2" s="79"/>
      <c r="E2" s="79"/>
      <c r="F2" s="79"/>
      <c r="G2" s="79"/>
      <c r="H2" s="79"/>
      <c r="I2" s="79"/>
      <c r="J2" s="79"/>
      <c r="K2" s="79"/>
    </row>
    <row r="3" spans="1:12" ht="32.25" customHeight="1" x14ac:dyDescent="0.2">
      <c r="A3" s="211" t="s">
        <v>93</v>
      </c>
      <c r="B3" s="211"/>
      <c r="C3" s="203" t="s">
        <v>94</v>
      </c>
      <c r="D3" s="204"/>
      <c r="E3" s="204"/>
      <c r="F3" s="204"/>
      <c r="G3" s="204"/>
      <c r="H3" s="204"/>
      <c r="I3" s="204"/>
      <c r="J3" s="205"/>
      <c r="K3" s="163" t="s">
        <v>177</v>
      </c>
      <c r="L3" s="212" t="s">
        <v>141</v>
      </c>
    </row>
    <row r="4" spans="1:12" x14ac:dyDescent="0.2">
      <c r="A4" s="211"/>
      <c r="B4" s="211"/>
      <c r="C4" s="87" t="s">
        <v>11</v>
      </c>
      <c r="D4" s="87" t="s">
        <v>12</v>
      </c>
      <c r="E4" s="87" t="s">
        <v>13</v>
      </c>
      <c r="F4" s="87" t="s">
        <v>14</v>
      </c>
      <c r="G4" s="87" t="s">
        <v>15</v>
      </c>
      <c r="H4" s="87" t="s">
        <v>16</v>
      </c>
      <c r="I4" s="87" t="s">
        <v>18</v>
      </c>
      <c r="J4" s="87" t="s">
        <v>19</v>
      </c>
      <c r="K4" s="87" t="s">
        <v>46</v>
      </c>
      <c r="L4" s="212"/>
    </row>
    <row r="5" spans="1:12" ht="95.25" customHeight="1" x14ac:dyDescent="0.2">
      <c r="A5" s="211"/>
      <c r="B5" s="211"/>
      <c r="C5" s="90" t="s">
        <v>96</v>
      </c>
      <c r="D5" s="90" t="s">
        <v>97</v>
      </c>
      <c r="E5" s="90" t="s">
        <v>158</v>
      </c>
      <c r="F5" s="90" t="s">
        <v>156</v>
      </c>
      <c r="G5" s="90" t="s">
        <v>98</v>
      </c>
      <c r="H5" s="90" t="s">
        <v>157</v>
      </c>
      <c r="I5" s="90" t="s">
        <v>184</v>
      </c>
      <c r="J5" s="90" t="s">
        <v>159</v>
      </c>
      <c r="K5" s="176" t="s">
        <v>176</v>
      </c>
      <c r="L5" s="212"/>
    </row>
    <row r="6" spans="1:12" ht="15" customHeight="1" x14ac:dyDescent="0.2">
      <c r="A6" s="213" t="s">
        <v>99</v>
      </c>
      <c r="B6" s="81" t="s">
        <v>100</v>
      </c>
      <c r="C6" s="88">
        <v>1</v>
      </c>
      <c r="D6" s="88"/>
      <c r="E6" s="88"/>
      <c r="F6" s="88"/>
      <c r="G6" s="88"/>
      <c r="H6" s="88"/>
      <c r="I6" s="88"/>
      <c r="J6" s="88"/>
      <c r="K6" s="88"/>
      <c r="L6" s="88">
        <f>SUM(C6:K6)</f>
        <v>1</v>
      </c>
    </row>
    <row r="7" spans="1:12" ht="16" x14ac:dyDescent="0.2">
      <c r="A7" s="213"/>
      <c r="B7" s="81" t="s">
        <v>100</v>
      </c>
      <c r="C7" s="88"/>
      <c r="D7" s="88"/>
      <c r="E7" s="88"/>
      <c r="F7" s="88"/>
      <c r="G7" s="88"/>
      <c r="H7" s="88"/>
      <c r="I7" s="88"/>
      <c r="J7" s="88"/>
      <c r="K7" s="88"/>
      <c r="L7" s="88">
        <f t="shared" ref="L7:L49" si="0">SUM(C7:K7)</f>
        <v>0</v>
      </c>
    </row>
    <row r="8" spans="1:12" ht="16" x14ac:dyDescent="0.2">
      <c r="A8" s="213"/>
      <c r="B8" s="81" t="s">
        <v>100</v>
      </c>
      <c r="C8" s="88"/>
      <c r="D8" s="88"/>
      <c r="E8" s="88"/>
      <c r="F8" s="88"/>
      <c r="G8" s="88"/>
      <c r="H8" s="88"/>
      <c r="I8" s="88"/>
      <c r="J8" s="88"/>
      <c r="K8" s="88"/>
      <c r="L8" s="88">
        <f t="shared" si="0"/>
        <v>0</v>
      </c>
    </row>
    <row r="9" spans="1:12" ht="16" x14ac:dyDescent="0.2">
      <c r="A9" s="213"/>
      <c r="B9" s="81" t="s">
        <v>101</v>
      </c>
      <c r="C9" s="88">
        <v>1</v>
      </c>
      <c r="D9" s="88"/>
      <c r="E9" s="88"/>
      <c r="F9" s="88"/>
      <c r="G9" s="88"/>
      <c r="H9" s="88"/>
      <c r="I9" s="88"/>
      <c r="J9" s="88"/>
      <c r="K9" s="88"/>
      <c r="L9" s="88">
        <f t="shared" si="0"/>
        <v>1</v>
      </c>
    </row>
    <row r="10" spans="1:12" ht="16" x14ac:dyDescent="0.2">
      <c r="A10" s="213"/>
      <c r="B10" s="81" t="s">
        <v>102</v>
      </c>
      <c r="C10" s="88"/>
      <c r="D10" s="88"/>
      <c r="E10" s="88"/>
      <c r="F10" s="88"/>
      <c r="G10" s="88"/>
      <c r="H10" s="88"/>
      <c r="I10" s="88"/>
      <c r="J10" s="88"/>
      <c r="K10" s="88"/>
      <c r="L10" s="88">
        <f t="shared" si="0"/>
        <v>0</v>
      </c>
    </row>
    <row r="11" spans="1:12" ht="16" x14ac:dyDescent="0.2">
      <c r="A11" s="213"/>
      <c r="B11" s="81" t="s">
        <v>103</v>
      </c>
      <c r="C11" s="88">
        <v>1</v>
      </c>
      <c r="D11" s="88"/>
      <c r="E11" s="88"/>
      <c r="F11" s="88"/>
      <c r="G11" s="88"/>
      <c r="H11" s="88"/>
      <c r="I11" s="88"/>
      <c r="J11" s="88"/>
      <c r="K11" s="88"/>
      <c r="L11" s="88">
        <f t="shared" si="0"/>
        <v>1</v>
      </c>
    </row>
    <row r="12" spans="1:12" ht="16" x14ac:dyDescent="0.2">
      <c r="A12" s="213"/>
      <c r="B12" s="81" t="s">
        <v>104</v>
      </c>
      <c r="C12" s="88">
        <v>1</v>
      </c>
      <c r="D12" s="88"/>
      <c r="E12" s="88"/>
      <c r="F12" s="88"/>
      <c r="G12" s="88"/>
      <c r="H12" s="88"/>
      <c r="I12" s="88"/>
      <c r="J12" s="88"/>
      <c r="K12" s="88"/>
      <c r="L12" s="88">
        <f t="shared" si="0"/>
        <v>1</v>
      </c>
    </row>
    <row r="13" spans="1:12" ht="16" x14ac:dyDescent="0.2">
      <c r="A13" s="213"/>
      <c r="B13" s="81" t="s">
        <v>105</v>
      </c>
      <c r="C13" s="88"/>
      <c r="D13" s="88"/>
      <c r="E13" s="88">
        <v>1</v>
      </c>
      <c r="F13" s="88"/>
      <c r="G13" s="88"/>
      <c r="H13" s="88"/>
      <c r="I13" s="88"/>
      <c r="J13" s="88"/>
      <c r="K13" s="88"/>
      <c r="L13" s="88">
        <f t="shared" si="0"/>
        <v>1</v>
      </c>
    </row>
    <row r="14" spans="1:12" ht="16" x14ac:dyDescent="0.2">
      <c r="A14" s="213"/>
      <c r="B14" s="81" t="s">
        <v>106</v>
      </c>
      <c r="C14" s="88"/>
      <c r="D14" s="88"/>
      <c r="E14" s="88"/>
      <c r="F14" s="88"/>
      <c r="G14" s="88"/>
      <c r="H14" s="88"/>
      <c r="I14" s="88"/>
      <c r="J14" s="88"/>
      <c r="K14" s="88"/>
      <c r="L14" s="88">
        <f t="shared" si="0"/>
        <v>0</v>
      </c>
    </row>
    <row r="15" spans="1:12" ht="16" x14ac:dyDescent="0.2">
      <c r="A15" s="213"/>
      <c r="B15" s="81" t="s">
        <v>107</v>
      </c>
      <c r="C15" s="88"/>
      <c r="D15" s="88"/>
      <c r="E15" s="88">
        <v>1</v>
      </c>
      <c r="F15" s="88"/>
      <c r="G15" s="88"/>
      <c r="H15" s="88"/>
      <c r="I15" s="88"/>
      <c r="J15" s="88"/>
      <c r="K15" s="88"/>
      <c r="L15" s="88">
        <f t="shared" si="0"/>
        <v>1</v>
      </c>
    </row>
    <row r="16" spans="1:12" ht="16" x14ac:dyDescent="0.2">
      <c r="A16" s="213"/>
      <c r="B16" s="81" t="s">
        <v>108</v>
      </c>
      <c r="C16" s="88"/>
      <c r="D16" s="88"/>
      <c r="E16" s="88"/>
      <c r="F16" s="88"/>
      <c r="G16" s="88"/>
      <c r="H16" s="88"/>
      <c r="I16" s="88"/>
      <c r="J16" s="88"/>
      <c r="K16" s="88"/>
      <c r="L16" s="88">
        <f t="shared" si="0"/>
        <v>0</v>
      </c>
    </row>
    <row r="17" spans="1:12" ht="16" x14ac:dyDescent="0.2">
      <c r="A17" s="213"/>
      <c r="B17" s="81" t="s">
        <v>110</v>
      </c>
      <c r="C17" s="88"/>
      <c r="D17" s="88"/>
      <c r="E17" s="88"/>
      <c r="F17" s="88"/>
      <c r="G17" s="88"/>
      <c r="H17" s="88"/>
      <c r="I17" s="88"/>
      <c r="J17" s="88"/>
      <c r="K17" s="88"/>
      <c r="L17" s="88">
        <f t="shared" si="0"/>
        <v>0</v>
      </c>
    </row>
    <row r="18" spans="1:12" ht="16" x14ac:dyDescent="0.2">
      <c r="A18" s="213"/>
      <c r="B18" s="81" t="s">
        <v>110</v>
      </c>
      <c r="C18" s="88"/>
      <c r="D18" s="88"/>
      <c r="E18" s="88"/>
      <c r="F18" s="88"/>
      <c r="G18" s="88"/>
      <c r="H18" s="88"/>
      <c r="I18" s="88"/>
      <c r="J18" s="88"/>
      <c r="K18" s="88"/>
      <c r="L18" s="88">
        <f t="shared" si="0"/>
        <v>0</v>
      </c>
    </row>
    <row r="19" spans="1:12" ht="16" x14ac:dyDescent="0.2">
      <c r="A19" s="213"/>
      <c r="B19" s="81" t="s">
        <v>111</v>
      </c>
      <c r="C19" s="88"/>
      <c r="D19" s="88"/>
      <c r="E19" s="88"/>
      <c r="F19" s="88"/>
      <c r="G19" s="88"/>
      <c r="H19" s="88">
        <v>0</v>
      </c>
      <c r="I19" s="88"/>
      <c r="J19" s="88"/>
      <c r="K19" s="88"/>
      <c r="L19" s="88">
        <f t="shared" si="0"/>
        <v>0</v>
      </c>
    </row>
    <row r="20" spans="1:12" ht="16" x14ac:dyDescent="0.2">
      <c r="A20" s="213"/>
      <c r="B20" s="81" t="s">
        <v>112</v>
      </c>
      <c r="C20" s="88"/>
      <c r="D20" s="88"/>
      <c r="E20" s="88"/>
      <c r="F20" s="88"/>
      <c r="G20" s="88"/>
      <c r="H20" s="88"/>
      <c r="I20" s="88"/>
      <c r="J20" s="88"/>
      <c r="K20" s="88"/>
      <c r="L20" s="88">
        <f t="shared" si="0"/>
        <v>0</v>
      </c>
    </row>
    <row r="21" spans="1:12" ht="16" x14ac:dyDescent="0.2">
      <c r="A21" s="213"/>
      <c r="B21" s="81" t="s">
        <v>113</v>
      </c>
      <c r="C21" s="88"/>
      <c r="D21" s="88"/>
      <c r="E21" s="88">
        <v>1</v>
      </c>
      <c r="F21" s="88"/>
      <c r="G21" s="88"/>
      <c r="H21" s="88"/>
      <c r="I21" s="88"/>
      <c r="J21" s="88"/>
      <c r="K21" s="88"/>
      <c r="L21" s="88">
        <f t="shared" si="0"/>
        <v>1</v>
      </c>
    </row>
    <row r="22" spans="1:12" ht="16" x14ac:dyDescent="0.2">
      <c r="A22" s="213"/>
      <c r="B22" s="81" t="s">
        <v>114</v>
      </c>
      <c r="C22" s="88"/>
      <c r="D22" s="88"/>
      <c r="E22" s="88">
        <v>1</v>
      </c>
      <c r="F22" s="88"/>
      <c r="G22" s="88"/>
      <c r="H22" s="88"/>
      <c r="I22" s="88"/>
      <c r="J22" s="88"/>
      <c r="K22" s="88"/>
      <c r="L22" s="88">
        <f t="shared" si="0"/>
        <v>1</v>
      </c>
    </row>
    <row r="23" spans="1:12" ht="16" x14ac:dyDescent="0.2">
      <c r="A23" s="213"/>
      <c r="B23" s="81" t="s">
        <v>115</v>
      </c>
      <c r="C23" s="88">
        <v>1</v>
      </c>
      <c r="D23" s="88"/>
      <c r="E23" s="88"/>
      <c r="F23" s="88"/>
      <c r="G23" s="88"/>
      <c r="H23" s="88"/>
      <c r="I23" s="88"/>
      <c r="J23" s="88"/>
      <c r="K23" s="88"/>
      <c r="L23" s="88">
        <f t="shared" si="0"/>
        <v>1</v>
      </c>
    </row>
    <row r="24" spans="1:12" ht="15" customHeight="1" x14ac:dyDescent="0.2">
      <c r="A24" s="210" t="s">
        <v>116</v>
      </c>
      <c r="B24" s="81" t="s">
        <v>118</v>
      </c>
      <c r="C24" s="88">
        <v>1</v>
      </c>
      <c r="D24" s="88"/>
      <c r="E24" s="88"/>
      <c r="F24" s="88"/>
      <c r="G24" s="88"/>
      <c r="H24" s="88"/>
      <c r="I24" s="88"/>
      <c r="J24" s="88"/>
      <c r="K24" s="88"/>
      <c r="L24" s="88">
        <f t="shared" si="0"/>
        <v>1</v>
      </c>
    </row>
    <row r="25" spans="1:12" ht="16" x14ac:dyDescent="0.2">
      <c r="A25" s="210"/>
      <c r="B25" s="81" t="s">
        <v>118</v>
      </c>
      <c r="C25" s="88"/>
      <c r="D25" s="88"/>
      <c r="E25" s="88">
        <v>1</v>
      </c>
      <c r="F25" s="88"/>
      <c r="G25" s="88"/>
      <c r="H25" s="88"/>
      <c r="I25" s="88"/>
      <c r="J25" s="88"/>
      <c r="K25" s="88"/>
      <c r="L25" s="88">
        <f t="shared" si="0"/>
        <v>1</v>
      </c>
    </row>
    <row r="26" spans="1:12" ht="16" x14ac:dyDescent="0.2">
      <c r="A26" s="210"/>
      <c r="B26" s="81" t="s">
        <v>119</v>
      </c>
      <c r="C26" s="88">
        <v>1</v>
      </c>
      <c r="D26" s="88"/>
      <c r="E26" s="88"/>
      <c r="F26" s="88"/>
      <c r="G26" s="88"/>
      <c r="H26" s="88"/>
      <c r="I26" s="88"/>
      <c r="J26" s="88"/>
      <c r="K26" s="88"/>
      <c r="L26" s="88">
        <f t="shared" si="0"/>
        <v>1</v>
      </c>
    </row>
    <row r="27" spans="1:12" ht="16" x14ac:dyDescent="0.2">
      <c r="A27" s="210"/>
      <c r="B27" s="81" t="s">
        <v>122</v>
      </c>
      <c r="C27" s="88">
        <v>1</v>
      </c>
      <c r="D27" s="88"/>
      <c r="E27" s="88"/>
      <c r="F27" s="88"/>
      <c r="G27" s="88"/>
      <c r="H27" s="88"/>
      <c r="I27" s="88"/>
      <c r="J27" s="88"/>
      <c r="K27" s="88"/>
      <c r="L27" s="88">
        <f t="shared" si="0"/>
        <v>1</v>
      </c>
    </row>
    <row r="28" spans="1:12" ht="16" x14ac:dyDescent="0.2">
      <c r="A28" s="210"/>
      <c r="B28" s="81" t="s">
        <v>122</v>
      </c>
      <c r="C28" s="88"/>
      <c r="D28" s="88"/>
      <c r="E28" s="88">
        <v>1</v>
      </c>
      <c r="F28" s="88"/>
      <c r="G28" s="88"/>
      <c r="H28" s="88"/>
      <c r="I28" s="88"/>
      <c r="J28" s="89"/>
      <c r="K28" s="89"/>
      <c r="L28" s="88">
        <f t="shared" si="0"/>
        <v>1</v>
      </c>
    </row>
    <row r="29" spans="1:12" ht="16" x14ac:dyDescent="0.2">
      <c r="A29" s="210"/>
      <c r="B29" s="81" t="s">
        <v>122</v>
      </c>
      <c r="C29" s="88"/>
      <c r="D29" s="88"/>
      <c r="E29" s="88"/>
      <c r="F29" s="88"/>
      <c r="G29" s="88"/>
      <c r="H29" s="88"/>
      <c r="I29" s="88"/>
      <c r="J29" s="88"/>
      <c r="K29" s="88"/>
      <c r="L29" s="88">
        <f t="shared" si="0"/>
        <v>0</v>
      </c>
    </row>
    <row r="30" spans="1:12" ht="16" x14ac:dyDescent="0.2">
      <c r="A30" s="210"/>
      <c r="B30" s="81" t="s">
        <v>123</v>
      </c>
      <c r="C30" s="88">
        <v>1</v>
      </c>
      <c r="D30" s="88"/>
      <c r="E30" s="88"/>
      <c r="F30" s="88"/>
      <c r="G30" s="88"/>
      <c r="H30" s="88"/>
      <c r="I30" s="88"/>
      <c r="J30" s="88"/>
      <c r="K30" s="88"/>
      <c r="L30" s="88">
        <f t="shared" si="0"/>
        <v>1</v>
      </c>
    </row>
    <row r="31" spans="1:12" ht="16" x14ac:dyDescent="0.2">
      <c r="A31" s="210"/>
      <c r="B31" s="81" t="s">
        <v>123</v>
      </c>
      <c r="C31" s="88"/>
      <c r="D31" s="88"/>
      <c r="E31" s="88"/>
      <c r="F31" s="88"/>
      <c r="G31" s="88"/>
      <c r="H31" s="88"/>
      <c r="I31" s="88"/>
      <c r="J31" s="88">
        <v>1</v>
      </c>
      <c r="K31" s="88"/>
      <c r="L31" s="88">
        <f t="shared" si="0"/>
        <v>1</v>
      </c>
    </row>
    <row r="32" spans="1:12" ht="16" x14ac:dyDescent="0.2">
      <c r="A32" s="210"/>
      <c r="B32" s="81" t="s">
        <v>124</v>
      </c>
      <c r="C32" s="88">
        <v>1</v>
      </c>
      <c r="D32" s="88"/>
      <c r="E32" s="88"/>
      <c r="F32" s="88"/>
      <c r="G32" s="88"/>
      <c r="H32" s="88"/>
      <c r="I32" s="88"/>
      <c r="J32" s="88"/>
      <c r="K32" s="88"/>
      <c r="L32" s="88">
        <f t="shared" si="0"/>
        <v>1</v>
      </c>
    </row>
    <row r="33" spans="1:12" ht="16" x14ac:dyDescent="0.2">
      <c r="A33" s="210"/>
      <c r="B33" s="81" t="s">
        <v>124</v>
      </c>
      <c r="C33" s="88"/>
      <c r="D33" s="88"/>
      <c r="E33" s="88">
        <v>1</v>
      </c>
      <c r="F33" s="88"/>
      <c r="G33" s="88"/>
      <c r="H33" s="88"/>
      <c r="I33" s="88"/>
      <c r="J33" s="88"/>
      <c r="K33" s="88"/>
      <c r="L33" s="88">
        <f t="shared" si="0"/>
        <v>1</v>
      </c>
    </row>
    <row r="34" spans="1:12" ht="16" x14ac:dyDescent="0.2">
      <c r="A34" s="210"/>
      <c r="B34" s="81" t="s">
        <v>125</v>
      </c>
      <c r="C34" s="88">
        <v>1</v>
      </c>
      <c r="D34" s="88"/>
      <c r="E34" s="88"/>
      <c r="F34" s="88"/>
      <c r="G34" s="88"/>
      <c r="H34" s="88"/>
      <c r="I34" s="88"/>
      <c r="J34" s="88"/>
      <c r="K34" s="88"/>
      <c r="L34" s="88">
        <f t="shared" si="0"/>
        <v>1</v>
      </c>
    </row>
    <row r="35" spans="1:12" ht="16" x14ac:dyDescent="0.2">
      <c r="A35" s="210"/>
      <c r="B35" s="81" t="s">
        <v>125</v>
      </c>
      <c r="C35" s="88"/>
      <c r="D35" s="88"/>
      <c r="E35" s="88">
        <v>1</v>
      </c>
      <c r="F35" s="88"/>
      <c r="G35" s="88"/>
      <c r="H35" s="88"/>
      <c r="I35" s="88"/>
      <c r="J35" s="88"/>
      <c r="K35" s="88"/>
      <c r="L35" s="88">
        <f t="shared" si="0"/>
        <v>1</v>
      </c>
    </row>
    <row r="36" spans="1:12" ht="16" x14ac:dyDescent="0.2">
      <c r="A36" s="210"/>
      <c r="B36" s="81" t="s">
        <v>126</v>
      </c>
      <c r="C36" s="88">
        <v>1</v>
      </c>
      <c r="D36" s="88"/>
      <c r="E36" s="88"/>
      <c r="F36" s="88"/>
      <c r="G36" s="88"/>
      <c r="H36" s="88"/>
      <c r="I36" s="88"/>
      <c r="J36" s="88"/>
      <c r="K36" s="88"/>
      <c r="L36" s="88">
        <f t="shared" si="0"/>
        <v>1</v>
      </c>
    </row>
    <row r="37" spans="1:12" ht="16" x14ac:dyDescent="0.2">
      <c r="A37" s="210"/>
      <c r="B37" s="81" t="s">
        <v>127</v>
      </c>
      <c r="C37" s="88"/>
      <c r="D37" s="88"/>
      <c r="E37" s="88"/>
      <c r="F37" s="88"/>
      <c r="G37" s="88">
        <v>2</v>
      </c>
      <c r="H37" s="88"/>
      <c r="I37" s="88"/>
      <c r="J37" s="88"/>
      <c r="K37" s="88"/>
      <c r="L37" s="88">
        <f t="shared" si="0"/>
        <v>2</v>
      </c>
    </row>
    <row r="38" spans="1:12" ht="16" x14ac:dyDescent="0.2">
      <c r="A38" s="210"/>
      <c r="B38" s="81" t="s">
        <v>142</v>
      </c>
      <c r="C38" s="88"/>
      <c r="D38" s="88"/>
      <c r="E38" s="88"/>
      <c r="F38" s="88"/>
      <c r="G38" s="88"/>
      <c r="H38" s="88">
        <v>1</v>
      </c>
      <c r="I38" s="88"/>
      <c r="J38" s="88"/>
      <c r="K38" s="88"/>
      <c r="L38" s="88">
        <f t="shared" si="0"/>
        <v>1</v>
      </c>
    </row>
    <row r="39" spans="1:12" ht="16" x14ac:dyDescent="0.2">
      <c r="A39" s="210"/>
      <c r="B39" s="81" t="s">
        <v>129</v>
      </c>
      <c r="C39" s="88">
        <v>1</v>
      </c>
      <c r="D39" s="88"/>
      <c r="E39" s="88"/>
      <c r="F39" s="88"/>
      <c r="G39" s="88"/>
      <c r="H39" s="88"/>
      <c r="I39" s="88"/>
      <c r="J39" s="88"/>
      <c r="K39" s="88"/>
      <c r="L39" s="88">
        <f t="shared" si="0"/>
        <v>1</v>
      </c>
    </row>
    <row r="40" spans="1:12" ht="16" x14ac:dyDescent="0.2">
      <c r="A40" s="210"/>
      <c r="B40" s="81" t="s">
        <v>130</v>
      </c>
      <c r="C40" s="88">
        <v>1</v>
      </c>
      <c r="D40" s="88"/>
      <c r="E40" s="88"/>
      <c r="F40" s="88"/>
      <c r="G40" s="88"/>
      <c r="H40" s="88"/>
      <c r="I40" s="88"/>
      <c r="J40" s="88"/>
      <c r="K40" s="88"/>
      <c r="L40" s="88">
        <f t="shared" si="0"/>
        <v>1</v>
      </c>
    </row>
    <row r="41" spans="1:12" ht="16" x14ac:dyDescent="0.2">
      <c r="A41" s="210"/>
      <c r="B41" s="81" t="s">
        <v>131</v>
      </c>
      <c r="C41" s="88">
        <v>1</v>
      </c>
      <c r="D41" s="88"/>
      <c r="E41" s="88"/>
      <c r="F41" s="88"/>
      <c r="G41" s="88"/>
      <c r="H41" s="88"/>
      <c r="I41" s="88"/>
      <c r="J41" s="88"/>
      <c r="K41" s="88"/>
      <c r="L41" s="88">
        <f t="shared" si="0"/>
        <v>1</v>
      </c>
    </row>
    <row r="42" spans="1:12" ht="16" x14ac:dyDescent="0.2">
      <c r="A42" s="210"/>
      <c r="B42" s="81" t="s">
        <v>131</v>
      </c>
      <c r="C42" s="88"/>
      <c r="D42" s="88"/>
      <c r="E42" s="88">
        <v>1</v>
      </c>
      <c r="F42" s="88"/>
      <c r="G42" s="88"/>
      <c r="H42" s="88"/>
      <c r="I42" s="88"/>
      <c r="J42" s="88"/>
      <c r="K42" s="88"/>
      <c r="L42" s="88">
        <f t="shared" si="0"/>
        <v>1</v>
      </c>
    </row>
    <row r="43" spans="1:12" ht="16" x14ac:dyDescent="0.2">
      <c r="A43" s="210"/>
      <c r="B43" s="81" t="s">
        <v>132</v>
      </c>
      <c r="C43" s="88">
        <v>1</v>
      </c>
      <c r="D43" s="88"/>
      <c r="E43" s="88"/>
      <c r="F43" s="88"/>
      <c r="G43" s="88"/>
      <c r="H43" s="88"/>
      <c r="I43" s="88"/>
      <c r="J43" s="88"/>
      <c r="K43" s="88"/>
      <c r="L43" s="88">
        <f t="shared" si="0"/>
        <v>1</v>
      </c>
    </row>
    <row r="44" spans="1:12" ht="16" x14ac:dyDescent="0.2">
      <c r="A44" s="210"/>
      <c r="B44" s="81" t="s">
        <v>143</v>
      </c>
      <c r="C44" s="88">
        <v>1</v>
      </c>
      <c r="D44" s="88"/>
      <c r="E44" s="88"/>
      <c r="F44" s="88"/>
      <c r="G44" s="88"/>
      <c r="H44" s="88"/>
      <c r="I44" s="88"/>
      <c r="J44" s="88"/>
      <c r="K44" s="88"/>
      <c r="L44" s="88">
        <f t="shared" si="0"/>
        <v>1</v>
      </c>
    </row>
    <row r="45" spans="1:12" ht="16" x14ac:dyDescent="0.2">
      <c r="A45" s="210"/>
      <c r="B45" s="81" t="s">
        <v>143</v>
      </c>
      <c r="C45" s="88"/>
      <c r="D45" s="88"/>
      <c r="E45" s="88">
        <v>1</v>
      </c>
      <c r="F45" s="88"/>
      <c r="G45" s="88"/>
      <c r="H45" s="88"/>
      <c r="I45" s="88"/>
      <c r="J45" s="88"/>
      <c r="K45" s="88"/>
      <c r="L45" s="88">
        <f t="shared" si="0"/>
        <v>1</v>
      </c>
    </row>
    <row r="46" spans="1:12" ht="16" x14ac:dyDescent="0.2">
      <c r="A46" s="210"/>
      <c r="B46" s="81" t="s">
        <v>134</v>
      </c>
      <c r="C46" s="88"/>
      <c r="D46" s="88">
        <v>1</v>
      </c>
      <c r="E46" s="88"/>
      <c r="F46" s="88"/>
      <c r="G46" s="88"/>
      <c r="H46" s="88"/>
      <c r="I46" s="88"/>
      <c r="J46" s="88"/>
      <c r="K46" s="88"/>
      <c r="L46" s="88">
        <f t="shared" si="0"/>
        <v>1</v>
      </c>
    </row>
    <row r="47" spans="1:12" ht="16" x14ac:dyDescent="0.2">
      <c r="A47" s="201" t="s">
        <v>135</v>
      </c>
      <c r="B47" s="81" t="s">
        <v>136</v>
      </c>
      <c r="C47" s="88">
        <v>1</v>
      </c>
      <c r="D47" s="88"/>
      <c r="E47" s="88"/>
      <c r="F47" s="88"/>
      <c r="G47" s="88"/>
      <c r="H47" s="88"/>
      <c r="I47" s="88"/>
      <c r="J47" s="88"/>
      <c r="K47" s="88"/>
      <c r="L47" s="88">
        <f t="shared" si="0"/>
        <v>1</v>
      </c>
    </row>
    <row r="48" spans="1:12" ht="16" x14ac:dyDescent="0.2">
      <c r="A48" s="201"/>
      <c r="B48" s="81" t="s">
        <v>137</v>
      </c>
      <c r="C48" s="88">
        <v>1</v>
      </c>
      <c r="D48" s="88"/>
      <c r="E48" s="88"/>
      <c r="F48" s="88"/>
      <c r="G48" s="88"/>
      <c r="H48" s="88"/>
      <c r="I48" s="88"/>
      <c r="J48" s="88"/>
      <c r="K48" s="88"/>
      <c r="L48" s="88">
        <f t="shared" si="0"/>
        <v>1</v>
      </c>
    </row>
    <row r="49" spans="1:12" ht="33.75" customHeight="1" x14ac:dyDescent="0.2">
      <c r="A49" s="83" t="s">
        <v>138</v>
      </c>
      <c r="B49" s="81" t="s">
        <v>139</v>
      </c>
      <c r="C49" s="88"/>
      <c r="D49" s="88"/>
      <c r="E49" s="88"/>
      <c r="F49" s="88"/>
      <c r="G49" s="88"/>
      <c r="H49" s="88"/>
      <c r="I49" s="88"/>
      <c r="J49" s="88"/>
      <c r="K49" s="88">
        <v>1</v>
      </c>
      <c r="L49" s="88">
        <f t="shared" si="0"/>
        <v>1</v>
      </c>
    </row>
    <row r="50" spans="1:12" x14ac:dyDescent="0.2">
      <c r="A50" s="202" t="s">
        <v>144</v>
      </c>
      <c r="B50" s="202"/>
      <c r="C50" s="85">
        <f>SUM(C6:C49)</f>
        <v>19</v>
      </c>
      <c r="D50" s="85">
        <f t="shared" ref="D50:J50" si="1">SUM(D6:D49)</f>
        <v>1</v>
      </c>
      <c r="E50" s="85">
        <f t="shared" si="1"/>
        <v>10</v>
      </c>
      <c r="F50" s="85">
        <f t="shared" si="1"/>
        <v>0</v>
      </c>
      <c r="G50" s="85">
        <f t="shared" si="1"/>
        <v>2</v>
      </c>
      <c r="H50" s="85">
        <f t="shared" si="1"/>
        <v>1</v>
      </c>
      <c r="I50" s="85">
        <f t="shared" si="1"/>
        <v>0</v>
      </c>
      <c r="J50" s="85">
        <f t="shared" si="1"/>
        <v>1</v>
      </c>
      <c r="K50" s="153">
        <f>SUM(K6:K49)</f>
        <v>1</v>
      </c>
      <c r="L50" s="86">
        <f>SUM(L6:L49)</f>
        <v>35</v>
      </c>
    </row>
    <row r="52" spans="1:12" x14ac:dyDescent="0.2">
      <c r="C52" s="144">
        <f>+C50</f>
        <v>19</v>
      </c>
    </row>
    <row r="53" spans="1:12" x14ac:dyDescent="0.2">
      <c r="C53" s="144">
        <f>+D50</f>
        <v>1</v>
      </c>
    </row>
    <row r="54" spans="1:12" x14ac:dyDescent="0.2">
      <c r="C54" s="144">
        <f>+E50</f>
        <v>10</v>
      </c>
    </row>
    <row r="55" spans="1:12" x14ac:dyDescent="0.2">
      <c r="C55" s="144">
        <f>+F50</f>
        <v>0</v>
      </c>
    </row>
    <row r="56" spans="1:12" x14ac:dyDescent="0.2">
      <c r="C56" s="144">
        <f>+G50</f>
        <v>2</v>
      </c>
    </row>
    <row r="57" spans="1:12" x14ac:dyDescent="0.2">
      <c r="C57" s="144">
        <f>+H50</f>
        <v>1</v>
      </c>
    </row>
    <row r="58" spans="1:12" x14ac:dyDescent="0.2">
      <c r="C58" s="144">
        <f>+I50</f>
        <v>0</v>
      </c>
    </row>
    <row r="59" spans="1:12" x14ac:dyDescent="0.2">
      <c r="C59" s="144">
        <f>+J50</f>
        <v>1</v>
      </c>
    </row>
    <row r="60" spans="1:12" x14ac:dyDescent="0.2">
      <c r="C60" s="144">
        <f>+K50</f>
        <v>1</v>
      </c>
    </row>
    <row r="61" spans="1:12" x14ac:dyDescent="0.2">
      <c r="C61" s="144">
        <f>SUM(C52:C60)</f>
        <v>35</v>
      </c>
    </row>
    <row r="62" spans="1:12" x14ac:dyDescent="0.2">
      <c r="C62" s="144"/>
    </row>
    <row r="63" spans="1:12" x14ac:dyDescent="0.2">
      <c r="C63" s="144"/>
    </row>
    <row r="64" spans="1:12" x14ac:dyDescent="0.2">
      <c r="C64" s="144"/>
    </row>
    <row r="65" spans="3:3" x14ac:dyDescent="0.2">
      <c r="C65" s="144"/>
    </row>
    <row r="66" spans="3:3" x14ac:dyDescent="0.2">
      <c r="C66" s="144"/>
    </row>
  </sheetData>
  <mergeCells count="8">
    <mergeCell ref="A47:A48"/>
    <mergeCell ref="A50:B50"/>
    <mergeCell ref="C3:J3"/>
    <mergeCell ref="A1:L1"/>
    <mergeCell ref="A3:B5"/>
    <mergeCell ref="L3:L5"/>
    <mergeCell ref="A6:A23"/>
    <mergeCell ref="A24:A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3233-0F08-46BC-815F-7BD5A9CAB1EA}">
  <dimension ref="A1:P103"/>
  <sheetViews>
    <sheetView topLeftCell="A46" zoomScale="55" zoomScaleNormal="55" workbookViewId="0">
      <selection activeCell="E10" sqref="E10:E17"/>
    </sheetView>
  </sheetViews>
  <sheetFormatPr baseColWidth="10" defaultColWidth="11.5" defaultRowHeight="21" x14ac:dyDescent="0.2"/>
  <cols>
    <col min="1" max="1" width="11.5" style="33"/>
    <col min="2" max="2" width="12.5" style="45" customWidth="1"/>
    <col min="3" max="3" width="93.5" style="46" customWidth="1"/>
    <col min="4" max="4" width="20.1640625" style="45" customWidth="1"/>
    <col min="5" max="5" width="43.33203125" style="33" customWidth="1"/>
    <col min="6" max="6" width="31.5" style="33" customWidth="1"/>
    <col min="7" max="7" width="34.5" style="47" customWidth="1"/>
    <col min="8" max="8" width="29.83203125" style="33" customWidth="1"/>
    <col min="9" max="9" width="34" style="33" customWidth="1"/>
    <col min="10" max="10" width="30.33203125" style="33" customWidth="1"/>
    <col min="11" max="11" width="35.33203125" style="33" customWidth="1"/>
    <col min="12" max="12" width="11.5" style="33" customWidth="1"/>
    <col min="13" max="13" width="72.33203125" style="33" customWidth="1"/>
    <col min="14" max="14" width="21.83203125" style="33" bestFit="1" customWidth="1"/>
    <col min="15" max="15" width="18.5" style="33" bestFit="1" customWidth="1"/>
    <col min="16" max="21" width="27.83203125" style="33" customWidth="1"/>
    <col min="22" max="16384" width="11.5" style="33"/>
  </cols>
  <sheetData>
    <row r="1" spans="1:11" ht="28.5" customHeight="1" x14ac:dyDescent="0.2">
      <c r="A1" s="17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x14ac:dyDescent="0.2">
      <c r="A2" s="178" t="s">
        <v>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x14ac:dyDescent="0.2">
      <c r="A3" s="178" t="s">
        <v>52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5" spans="1:11" ht="28.5" customHeight="1" x14ac:dyDescent="0.2">
      <c r="A5" s="178" t="s">
        <v>186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28.5" customHeight="1" x14ac:dyDescent="0.2">
      <c r="A6" s="59"/>
      <c r="B6" s="59"/>
      <c r="C6" s="59"/>
      <c r="D6" s="59"/>
      <c r="E6" s="34"/>
      <c r="F6" s="34"/>
      <c r="G6" s="34"/>
    </row>
    <row r="7" spans="1:11" ht="22" thickBot="1" x14ac:dyDescent="0.25">
      <c r="E7" s="48"/>
      <c r="F7" s="48"/>
      <c r="G7" s="49"/>
    </row>
    <row r="8" spans="1:11" ht="62.25" customHeight="1" x14ac:dyDescent="0.2">
      <c r="A8" s="231">
        <v>1</v>
      </c>
      <c r="B8" s="226" t="s">
        <v>72</v>
      </c>
      <c r="C8" s="226"/>
      <c r="D8" s="226"/>
      <c r="E8" s="234" t="s">
        <v>71</v>
      </c>
      <c r="F8" s="235"/>
      <c r="G8" s="235"/>
      <c r="H8" s="235"/>
      <c r="I8" s="235"/>
      <c r="J8" s="235"/>
      <c r="K8" s="236"/>
    </row>
    <row r="9" spans="1:11" ht="135" customHeight="1" x14ac:dyDescent="0.2">
      <c r="A9" s="232"/>
      <c r="B9" s="63" t="s">
        <v>1</v>
      </c>
      <c r="C9" s="40" t="s">
        <v>2</v>
      </c>
      <c r="D9" s="63" t="s">
        <v>3</v>
      </c>
      <c r="E9" s="146" t="s">
        <v>182</v>
      </c>
      <c r="F9" s="64" t="s">
        <v>5</v>
      </c>
      <c r="G9" s="64" t="s">
        <v>162</v>
      </c>
      <c r="H9" s="64" t="s">
        <v>163</v>
      </c>
      <c r="I9" s="64" t="s">
        <v>8</v>
      </c>
      <c r="J9" s="64" t="s">
        <v>9</v>
      </c>
      <c r="K9" s="158" t="s">
        <v>164</v>
      </c>
    </row>
    <row r="10" spans="1:11" x14ac:dyDescent="0.2">
      <c r="A10" s="232"/>
      <c r="B10" s="36" t="s">
        <v>11</v>
      </c>
      <c r="C10" s="35" t="s">
        <v>96</v>
      </c>
      <c r="D10" s="36">
        <f>+'Servicios CLASE'!C50</f>
        <v>19</v>
      </c>
      <c r="E10" s="38"/>
      <c r="F10" s="37">
        <f>+E10*10/100+E10</f>
        <v>0</v>
      </c>
      <c r="G10" s="37">
        <f>+F10*10%</f>
        <v>0</v>
      </c>
      <c r="H10" s="37">
        <f>+G10*0.19</f>
        <v>0</v>
      </c>
      <c r="I10" s="38">
        <f>F10+H10</f>
        <v>0</v>
      </c>
      <c r="J10" s="39">
        <v>10</v>
      </c>
      <c r="K10" s="174">
        <f>+D10*I10*J10</f>
        <v>0</v>
      </c>
    </row>
    <row r="11" spans="1:11" x14ac:dyDescent="0.2">
      <c r="A11" s="232"/>
      <c r="B11" s="36" t="s">
        <v>12</v>
      </c>
      <c r="C11" s="35" t="s">
        <v>97</v>
      </c>
      <c r="D11" s="36">
        <f>+'Servicios CLASE'!D50</f>
        <v>1</v>
      </c>
      <c r="E11" s="38"/>
      <c r="F11" s="37">
        <f>+E11*8/100+E11</f>
        <v>0</v>
      </c>
      <c r="G11" s="37">
        <f t="shared" ref="G11:G17" si="0">+F11*10%</f>
        <v>0</v>
      </c>
      <c r="H11" s="37">
        <f t="shared" ref="H11:H17" si="1">+G11*0.19</f>
        <v>0</v>
      </c>
      <c r="I11" s="38">
        <f t="shared" ref="I11:I17" si="2">F11+H11</f>
        <v>0</v>
      </c>
      <c r="J11" s="39">
        <v>10</v>
      </c>
      <c r="K11" s="174">
        <f t="shared" ref="K11:K17" si="3">+D11*I11*J11</f>
        <v>0</v>
      </c>
    </row>
    <row r="12" spans="1:11" ht="22.5" customHeight="1" x14ac:dyDescent="0.2">
      <c r="A12" s="232"/>
      <c r="B12" s="36" t="s">
        <v>13</v>
      </c>
      <c r="C12" s="35" t="s">
        <v>158</v>
      </c>
      <c r="D12" s="36">
        <f>+'Servicios CLASE'!E50</f>
        <v>18</v>
      </c>
      <c r="E12" s="38"/>
      <c r="F12" s="37">
        <f>+E12*8/100+E12</f>
        <v>0</v>
      </c>
      <c r="G12" s="37">
        <f t="shared" si="0"/>
        <v>0</v>
      </c>
      <c r="H12" s="37">
        <f t="shared" si="1"/>
        <v>0</v>
      </c>
      <c r="I12" s="38">
        <f t="shared" si="2"/>
        <v>0</v>
      </c>
      <c r="J12" s="39">
        <v>10</v>
      </c>
      <c r="K12" s="174">
        <f t="shared" si="3"/>
        <v>0</v>
      </c>
    </row>
    <row r="13" spans="1:11" ht="32.25" customHeight="1" x14ac:dyDescent="0.2">
      <c r="A13" s="232"/>
      <c r="B13" s="36" t="s">
        <v>14</v>
      </c>
      <c r="C13" s="35" t="s">
        <v>156</v>
      </c>
      <c r="D13" s="36">
        <f>+'Servicios CLASE'!F50</f>
        <v>2</v>
      </c>
      <c r="E13" s="38"/>
      <c r="F13" s="37">
        <f>+E13*8/100+E13</f>
        <v>0</v>
      </c>
      <c r="G13" s="37">
        <f t="shared" si="0"/>
        <v>0</v>
      </c>
      <c r="H13" s="37">
        <f t="shared" si="1"/>
        <v>0</v>
      </c>
      <c r="I13" s="38">
        <f t="shared" si="2"/>
        <v>0</v>
      </c>
      <c r="J13" s="39">
        <v>10</v>
      </c>
      <c r="K13" s="174">
        <f t="shared" si="3"/>
        <v>0</v>
      </c>
    </row>
    <row r="14" spans="1:11" x14ac:dyDescent="0.2">
      <c r="A14" s="232"/>
      <c r="B14" s="36" t="s">
        <v>15</v>
      </c>
      <c r="C14" s="35" t="s">
        <v>98</v>
      </c>
      <c r="D14" s="36">
        <f>+'Servicios CLASE'!G50</f>
        <v>2</v>
      </c>
      <c r="E14" s="38"/>
      <c r="F14" s="37">
        <f>+E14*11/100+E14</f>
        <v>0</v>
      </c>
      <c r="G14" s="37">
        <f t="shared" si="0"/>
        <v>0</v>
      </c>
      <c r="H14" s="37">
        <f t="shared" si="1"/>
        <v>0</v>
      </c>
      <c r="I14" s="38">
        <f t="shared" si="2"/>
        <v>0</v>
      </c>
      <c r="J14" s="39">
        <v>10</v>
      </c>
      <c r="K14" s="174">
        <f t="shared" si="3"/>
        <v>0</v>
      </c>
    </row>
    <row r="15" spans="1:11" ht="44.25" customHeight="1" x14ac:dyDescent="0.2">
      <c r="A15" s="232"/>
      <c r="B15" s="36" t="s">
        <v>16</v>
      </c>
      <c r="C15" s="35" t="s">
        <v>157</v>
      </c>
      <c r="D15" s="36">
        <f>+'Servicios CLASE'!H50</f>
        <v>3</v>
      </c>
      <c r="E15" s="38"/>
      <c r="F15" s="37">
        <f>+E15*8/100+E15</f>
        <v>0</v>
      </c>
      <c r="G15" s="37">
        <f t="shared" si="0"/>
        <v>0</v>
      </c>
      <c r="H15" s="37">
        <f t="shared" si="1"/>
        <v>0</v>
      </c>
      <c r="I15" s="38">
        <f t="shared" si="2"/>
        <v>0</v>
      </c>
      <c r="J15" s="39">
        <v>10</v>
      </c>
      <c r="K15" s="174">
        <f t="shared" si="3"/>
        <v>0</v>
      </c>
    </row>
    <row r="16" spans="1:11" ht="42" x14ac:dyDescent="0.2">
      <c r="A16" s="232"/>
      <c r="B16" s="36" t="s">
        <v>18</v>
      </c>
      <c r="C16" s="35" t="s">
        <v>184</v>
      </c>
      <c r="D16" s="36">
        <f>+'Servicios CLASE'!I50</f>
        <v>1</v>
      </c>
      <c r="E16" s="38"/>
      <c r="F16" s="37">
        <f>+E16*10/100+E16</f>
        <v>0</v>
      </c>
      <c r="G16" s="37">
        <f t="shared" si="0"/>
        <v>0</v>
      </c>
      <c r="H16" s="37">
        <f t="shared" si="1"/>
        <v>0</v>
      </c>
      <c r="I16" s="38">
        <f t="shared" si="2"/>
        <v>0</v>
      </c>
      <c r="J16" s="39">
        <v>10</v>
      </c>
      <c r="K16" s="174">
        <f t="shared" si="3"/>
        <v>0</v>
      </c>
    </row>
    <row r="17" spans="1:11" ht="42" x14ac:dyDescent="0.2">
      <c r="A17" s="232"/>
      <c r="B17" s="36" t="s">
        <v>19</v>
      </c>
      <c r="C17" s="35" t="s">
        <v>159</v>
      </c>
      <c r="D17" s="36">
        <f>+'Servicios CLASE'!J50</f>
        <v>1</v>
      </c>
      <c r="E17" s="38"/>
      <c r="F17" s="37">
        <f>+E17*8/100+E17</f>
        <v>0</v>
      </c>
      <c r="G17" s="37">
        <f t="shared" si="0"/>
        <v>0</v>
      </c>
      <c r="H17" s="37">
        <f t="shared" si="1"/>
        <v>0</v>
      </c>
      <c r="I17" s="38">
        <f t="shared" si="2"/>
        <v>0</v>
      </c>
      <c r="J17" s="39">
        <v>10</v>
      </c>
      <c r="K17" s="174">
        <f t="shared" si="3"/>
        <v>0</v>
      </c>
    </row>
    <row r="18" spans="1:11" ht="39" customHeight="1" x14ac:dyDescent="0.2">
      <c r="A18" s="232"/>
      <c r="B18" s="36"/>
      <c r="C18" s="40" t="s">
        <v>173</v>
      </c>
      <c r="D18" s="61">
        <f>SUM(D10:D17)</f>
        <v>47</v>
      </c>
      <c r="E18" s="38"/>
      <c r="F18" s="41"/>
      <c r="G18" s="41"/>
      <c r="H18" s="41"/>
      <c r="I18" s="38"/>
      <c r="J18" s="39"/>
      <c r="K18" s="174"/>
    </row>
    <row r="19" spans="1:11" s="50" customFormat="1" ht="38.25" customHeight="1" thickBot="1" x14ac:dyDescent="0.25">
      <c r="A19" s="233"/>
      <c r="B19" s="160"/>
      <c r="C19" s="160"/>
      <c r="D19" s="160"/>
      <c r="E19" s="230" t="s">
        <v>77</v>
      </c>
      <c r="F19" s="230"/>
      <c r="G19" s="230"/>
      <c r="H19" s="230"/>
      <c r="I19" s="230"/>
      <c r="J19" s="230"/>
      <c r="K19" s="161">
        <f>SUM(K10:K18)</f>
        <v>0</v>
      </c>
    </row>
    <row r="20" spans="1:11" ht="22" thickBot="1" x14ac:dyDescent="0.25">
      <c r="G20" s="33"/>
    </row>
    <row r="21" spans="1:11" ht="68.25" customHeight="1" x14ac:dyDescent="0.2">
      <c r="A21" s="223">
        <v>2</v>
      </c>
      <c r="B21" s="226" t="s">
        <v>89</v>
      </c>
      <c r="C21" s="226"/>
      <c r="D21" s="226"/>
      <c r="E21" s="234" t="s">
        <v>183</v>
      </c>
      <c r="F21" s="235"/>
      <c r="G21" s="235"/>
      <c r="H21" s="235"/>
      <c r="I21" s="235"/>
      <c r="J21" s="235"/>
      <c r="K21" s="236"/>
    </row>
    <row r="22" spans="1:11" ht="173.25" customHeight="1" x14ac:dyDescent="0.2">
      <c r="A22" s="224"/>
      <c r="B22" s="63" t="s">
        <v>1</v>
      </c>
      <c r="C22" s="40" t="s">
        <v>2</v>
      </c>
      <c r="D22" s="63" t="s">
        <v>3</v>
      </c>
      <c r="E22" s="146" t="s">
        <v>182</v>
      </c>
      <c r="F22" s="64" t="s">
        <v>5</v>
      </c>
      <c r="G22" s="64" t="s">
        <v>162</v>
      </c>
      <c r="H22" s="64" t="s">
        <v>163</v>
      </c>
      <c r="I22" s="64" t="s">
        <v>8</v>
      </c>
      <c r="J22" s="64" t="s">
        <v>9</v>
      </c>
      <c r="K22" s="158" t="s">
        <v>164</v>
      </c>
    </row>
    <row r="23" spans="1:11" x14ac:dyDescent="0.2">
      <c r="A23" s="224"/>
      <c r="B23" s="36" t="s">
        <v>11</v>
      </c>
      <c r="C23" s="35" t="s">
        <v>96</v>
      </c>
      <c r="D23" s="70">
        <f>+'Servicios NO clase '!C52</f>
        <v>19</v>
      </c>
      <c r="E23" s="38">
        <f t="shared" ref="E23:E30" si="4">+E10</f>
        <v>0</v>
      </c>
      <c r="F23" s="37">
        <f>+E23*10/100+E23</f>
        <v>0</v>
      </c>
      <c r="G23" s="37">
        <f>+F23*10%</f>
        <v>0</v>
      </c>
      <c r="H23" s="37">
        <f>+G23*0.19</f>
        <v>0</v>
      </c>
      <c r="I23" s="38">
        <f>F23+H23</f>
        <v>0</v>
      </c>
      <c r="J23" s="39">
        <v>1.5</v>
      </c>
      <c r="K23" s="174">
        <f t="shared" ref="K23:K30" si="5">+D23*I23*J23</f>
        <v>0</v>
      </c>
    </row>
    <row r="24" spans="1:11" x14ac:dyDescent="0.2">
      <c r="A24" s="224"/>
      <c r="B24" s="36" t="s">
        <v>12</v>
      </c>
      <c r="C24" s="35" t="s">
        <v>97</v>
      </c>
      <c r="D24" s="70">
        <f>+'Servicios NO clase '!C53</f>
        <v>1</v>
      </c>
      <c r="E24" s="38">
        <f t="shared" si="4"/>
        <v>0</v>
      </c>
      <c r="F24" s="37">
        <f>+E24*8/100+E24</f>
        <v>0</v>
      </c>
      <c r="G24" s="37">
        <f t="shared" ref="G24:G30" si="6">+F24*10%</f>
        <v>0</v>
      </c>
      <c r="H24" s="37">
        <f t="shared" ref="H24:H30" si="7">+G24*0.19</f>
        <v>0</v>
      </c>
      <c r="I24" s="38">
        <f t="shared" ref="I24:I30" si="8">F24+H24</f>
        <v>0</v>
      </c>
      <c r="J24" s="39">
        <v>1.5</v>
      </c>
      <c r="K24" s="174">
        <f t="shared" si="5"/>
        <v>0</v>
      </c>
    </row>
    <row r="25" spans="1:11" x14ac:dyDescent="0.2">
      <c r="A25" s="224"/>
      <c r="B25" s="36" t="s">
        <v>13</v>
      </c>
      <c r="C25" s="35" t="s">
        <v>158</v>
      </c>
      <c r="D25" s="70">
        <f>+'Servicios NO clase '!C54</f>
        <v>10</v>
      </c>
      <c r="E25" s="38">
        <f t="shared" si="4"/>
        <v>0</v>
      </c>
      <c r="F25" s="37">
        <f>+E25*8/100+E25</f>
        <v>0</v>
      </c>
      <c r="G25" s="37">
        <f t="shared" si="6"/>
        <v>0</v>
      </c>
      <c r="H25" s="37">
        <f t="shared" si="7"/>
        <v>0</v>
      </c>
      <c r="I25" s="38">
        <f t="shared" si="8"/>
        <v>0</v>
      </c>
      <c r="J25" s="39">
        <v>1.5</v>
      </c>
      <c r="K25" s="174">
        <f t="shared" si="5"/>
        <v>0</v>
      </c>
    </row>
    <row r="26" spans="1:11" x14ac:dyDescent="0.2">
      <c r="A26" s="224"/>
      <c r="B26" s="36" t="s">
        <v>14</v>
      </c>
      <c r="C26" s="35" t="s">
        <v>156</v>
      </c>
      <c r="D26" s="70">
        <f>+'Servicios NO clase '!C55</f>
        <v>0</v>
      </c>
      <c r="E26" s="38">
        <f t="shared" si="4"/>
        <v>0</v>
      </c>
      <c r="F26" s="37">
        <f>+E26*8/100+E26</f>
        <v>0</v>
      </c>
      <c r="G26" s="37">
        <f t="shared" si="6"/>
        <v>0</v>
      </c>
      <c r="H26" s="37">
        <f t="shared" si="7"/>
        <v>0</v>
      </c>
      <c r="I26" s="38">
        <f t="shared" si="8"/>
        <v>0</v>
      </c>
      <c r="J26" s="39"/>
      <c r="K26" s="174">
        <f t="shared" si="5"/>
        <v>0</v>
      </c>
    </row>
    <row r="27" spans="1:11" x14ac:dyDescent="0.2">
      <c r="A27" s="224"/>
      <c r="B27" s="36" t="s">
        <v>15</v>
      </c>
      <c r="C27" s="35" t="s">
        <v>98</v>
      </c>
      <c r="D27" s="70">
        <f>+'Servicios NO clase '!C56</f>
        <v>2</v>
      </c>
      <c r="E27" s="38">
        <f t="shared" si="4"/>
        <v>0</v>
      </c>
      <c r="F27" s="37">
        <f>+E27*11/100+E27</f>
        <v>0</v>
      </c>
      <c r="G27" s="37">
        <f t="shared" si="6"/>
        <v>0</v>
      </c>
      <c r="H27" s="37">
        <f t="shared" si="7"/>
        <v>0</v>
      </c>
      <c r="I27" s="38">
        <f t="shared" si="8"/>
        <v>0</v>
      </c>
      <c r="J27" s="39">
        <v>1.5</v>
      </c>
      <c r="K27" s="174">
        <f t="shared" si="5"/>
        <v>0</v>
      </c>
    </row>
    <row r="28" spans="1:11" ht="42" x14ac:dyDescent="0.2">
      <c r="A28" s="224"/>
      <c r="B28" s="36" t="s">
        <v>16</v>
      </c>
      <c r="C28" s="35" t="s">
        <v>157</v>
      </c>
      <c r="D28" s="70">
        <f>+'Servicios NO clase '!C57</f>
        <v>1</v>
      </c>
      <c r="E28" s="38">
        <f t="shared" si="4"/>
        <v>0</v>
      </c>
      <c r="F28" s="37">
        <f>+E28*8/100+E28</f>
        <v>0</v>
      </c>
      <c r="G28" s="37">
        <f t="shared" si="6"/>
        <v>0</v>
      </c>
      <c r="H28" s="37">
        <f t="shared" si="7"/>
        <v>0</v>
      </c>
      <c r="I28" s="38">
        <f t="shared" si="8"/>
        <v>0</v>
      </c>
      <c r="J28" s="39">
        <v>1.5</v>
      </c>
      <c r="K28" s="174">
        <f>+D28*I28*J28</f>
        <v>0</v>
      </c>
    </row>
    <row r="29" spans="1:11" ht="42" x14ac:dyDescent="0.2">
      <c r="A29" s="224"/>
      <c r="B29" s="36" t="s">
        <v>18</v>
      </c>
      <c r="C29" s="35" t="s">
        <v>184</v>
      </c>
      <c r="D29" s="70">
        <f>+'Servicios NO clase '!C58</f>
        <v>0</v>
      </c>
      <c r="E29" s="38">
        <f t="shared" si="4"/>
        <v>0</v>
      </c>
      <c r="F29" s="37">
        <f>+E29*10/100+E29</f>
        <v>0</v>
      </c>
      <c r="G29" s="37">
        <f t="shared" si="6"/>
        <v>0</v>
      </c>
      <c r="H29" s="37">
        <f t="shared" si="7"/>
        <v>0</v>
      </c>
      <c r="I29" s="38">
        <f t="shared" si="8"/>
        <v>0</v>
      </c>
      <c r="J29" s="39"/>
      <c r="K29" s="174">
        <f t="shared" si="5"/>
        <v>0</v>
      </c>
    </row>
    <row r="30" spans="1:11" ht="42" x14ac:dyDescent="0.2">
      <c r="A30" s="224"/>
      <c r="B30" s="36" t="s">
        <v>19</v>
      </c>
      <c r="C30" s="35" t="s">
        <v>159</v>
      </c>
      <c r="D30" s="70">
        <f>+'Servicios NO clase '!C59</f>
        <v>1</v>
      </c>
      <c r="E30" s="38">
        <f t="shared" si="4"/>
        <v>0</v>
      </c>
      <c r="F30" s="37">
        <f>+E30*8/100+E30</f>
        <v>0</v>
      </c>
      <c r="G30" s="37">
        <f t="shared" si="6"/>
        <v>0</v>
      </c>
      <c r="H30" s="37">
        <f t="shared" si="7"/>
        <v>0</v>
      </c>
      <c r="I30" s="38">
        <f t="shared" si="8"/>
        <v>0</v>
      </c>
      <c r="J30" s="39">
        <v>1.5</v>
      </c>
      <c r="K30" s="174">
        <f t="shared" si="5"/>
        <v>0</v>
      </c>
    </row>
    <row r="31" spans="1:11" ht="30" customHeight="1" x14ac:dyDescent="0.2">
      <c r="A31" s="224"/>
      <c r="B31" s="36"/>
      <c r="C31" s="40" t="str">
        <f>+C18</f>
        <v xml:space="preserve">TOTAL SERVICIOS REGULADOS </v>
      </c>
      <c r="D31" s="61">
        <f>SUM(D23:D30)</f>
        <v>34</v>
      </c>
      <c r="E31" s="38"/>
      <c r="F31" s="41"/>
      <c r="G31" s="41"/>
      <c r="H31" s="41"/>
      <c r="I31" s="38"/>
      <c r="J31" s="39"/>
      <c r="K31" s="174"/>
    </row>
    <row r="32" spans="1:11" s="50" customFormat="1" ht="38.25" customHeight="1" thickBot="1" x14ac:dyDescent="0.25">
      <c r="A32" s="225"/>
      <c r="B32" s="160"/>
      <c r="C32" s="160"/>
      <c r="D32" s="160"/>
      <c r="E32" s="230" t="s">
        <v>77</v>
      </c>
      <c r="F32" s="230"/>
      <c r="G32" s="230"/>
      <c r="H32" s="230"/>
      <c r="I32" s="230"/>
      <c r="J32" s="230"/>
      <c r="K32" s="161">
        <f>SUM(K23:K31)</f>
        <v>0</v>
      </c>
    </row>
    <row r="33" spans="1:11" x14ac:dyDescent="0.2">
      <c r="E33" s="48"/>
      <c r="F33" s="48"/>
      <c r="G33" s="49"/>
    </row>
    <row r="34" spans="1:11" ht="22" thickBot="1" x14ac:dyDescent="0.25">
      <c r="B34" s="178"/>
      <c r="C34" s="178"/>
      <c r="D34" s="178"/>
      <c r="E34" s="48"/>
      <c r="F34" s="48"/>
      <c r="G34" s="49"/>
    </row>
    <row r="35" spans="1:11" ht="60" customHeight="1" x14ac:dyDescent="0.2">
      <c r="A35" s="231">
        <v>3</v>
      </c>
      <c r="B35" s="226" t="s">
        <v>75</v>
      </c>
      <c r="C35" s="226"/>
      <c r="D35" s="226"/>
      <c r="E35" s="227" t="s">
        <v>87</v>
      </c>
      <c r="F35" s="228"/>
      <c r="G35" s="228"/>
      <c r="H35" s="228"/>
      <c r="I35" s="228"/>
      <c r="J35" s="228"/>
      <c r="K35" s="229"/>
    </row>
    <row r="36" spans="1:11" ht="159" customHeight="1" x14ac:dyDescent="0.2">
      <c r="A36" s="232"/>
      <c r="B36" s="63" t="s">
        <v>1</v>
      </c>
      <c r="C36" s="40" t="s">
        <v>2</v>
      </c>
      <c r="D36" s="63" t="s">
        <v>3</v>
      </c>
      <c r="E36" s="146" t="s">
        <v>181</v>
      </c>
      <c r="F36" s="64" t="s">
        <v>5</v>
      </c>
      <c r="G36" s="64" t="s">
        <v>162</v>
      </c>
      <c r="H36" s="64" t="s">
        <v>163</v>
      </c>
      <c r="I36" s="64" t="s">
        <v>8</v>
      </c>
      <c r="J36" s="64" t="s">
        <v>9</v>
      </c>
      <c r="K36" s="158" t="s">
        <v>164</v>
      </c>
    </row>
    <row r="37" spans="1:11" x14ac:dyDescent="0.2">
      <c r="A37" s="232"/>
      <c r="B37" s="36" t="s">
        <v>11</v>
      </c>
      <c r="C37" s="35" t="s">
        <v>96</v>
      </c>
      <c r="D37" s="36">
        <f t="shared" ref="D37:D44" si="9">+D10</f>
        <v>19</v>
      </c>
      <c r="E37" s="38">
        <f t="shared" ref="E37:E45" si="10">+E23*1.1</f>
        <v>0</v>
      </c>
      <c r="F37" s="37">
        <f>+E37*10/100+E37</f>
        <v>0</v>
      </c>
      <c r="G37" s="37">
        <f>+F37*10%</f>
        <v>0</v>
      </c>
      <c r="H37" s="37">
        <f>+G37*0.19</f>
        <v>0</v>
      </c>
      <c r="I37" s="38">
        <f>F37+H37</f>
        <v>0</v>
      </c>
      <c r="J37" s="39">
        <v>9.5</v>
      </c>
      <c r="K37" s="174">
        <f t="shared" ref="K37:K44" si="11">+D37*I37*J37</f>
        <v>0</v>
      </c>
    </row>
    <row r="38" spans="1:11" x14ac:dyDescent="0.2">
      <c r="A38" s="232"/>
      <c r="B38" s="36" t="s">
        <v>12</v>
      </c>
      <c r="C38" s="35" t="s">
        <v>97</v>
      </c>
      <c r="D38" s="36">
        <f t="shared" si="9"/>
        <v>1</v>
      </c>
      <c r="E38" s="38">
        <f t="shared" si="10"/>
        <v>0</v>
      </c>
      <c r="F38" s="37">
        <f>+E38*8/100+E38</f>
        <v>0</v>
      </c>
      <c r="G38" s="37">
        <f t="shared" ref="G38:G44" si="12">+F38*10%</f>
        <v>0</v>
      </c>
      <c r="H38" s="37">
        <f t="shared" ref="H38:H44" si="13">+G38*0.19</f>
        <v>0</v>
      </c>
      <c r="I38" s="38">
        <f t="shared" ref="I38:I44" si="14">F38+H38</f>
        <v>0</v>
      </c>
      <c r="J38" s="39">
        <v>9.5</v>
      </c>
      <c r="K38" s="174">
        <f t="shared" si="11"/>
        <v>0</v>
      </c>
    </row>
    <row r="39" spans="1:11" ht="29.25" customHeight="1" x14ac:dyDescent="0.2">
      <c r="A39" s="232"/>
      <c r="B39" s="36" t="s">
        <v>13</v>
      </c>
      <c r="C39" s="35" t="s">
        <v>158</v>
      </c>
      <c r="D39" s="36">
        <f t="shared" si="9"/>
        <v>18</v>
      </c>
      <c r="E39" s="38">
        <f t="shared" si="10"/>
        <v>0</v>
      </c>
      <c r="F39" s="37">
        <f>+E39*8/100+E39</f>
        <v>0</v>
      </c>
      <c r="G39" s="37">
        <f t="shared" si="12"/>
        <v>0</v>
      </c>
      <c r="H39" s="37">
        <f t="shared" si="13"/>
        <v>0</v>
      </c>
      <c r="I39" s="38">
        <f t="shared" si="14"/>
        <v>0</v>
      </c>
      <c r="J39" s="39">
        <v>9.5</v>
      </c>
      <c r="K39" s="174">
        <f t="shared" si="11"/>
        <v>0</v>
      </c>
    </row>
    <row r="40" spans="1:11" ht="28.5" customHeight="1" x14ac:dyDescent="0.2">
      <c r="A40" s="232"/>
      <c r="B40" s="36" t="s">
        <v>14</v>
      </c>
      <c r="C40" s="35" t="s">
        <v>156</v>
      </c>
      <c r="D40" s="36">
        <f t="shared" si="9"/>
        <v>2</v>
      </c>
      <c r="E40" s="38">
        <f t="shared" si="10"/>
        <v>0</v>
      </c>
      <c r="F40" s="37">
        <f>+E40*8/100+E40</f>
        <v>0</v>
      </c>
      <c r="G40" s="37">
        <f t="shared" si="12"/>
        <v>0</v>
      </c>
      <c r="H40" s="37">
        <f t="shared" si="13"/>
        <v>0</v>
      </c>
      <c r="I40" s="38">
        <f t="shared" si="14"/>
        <v>0</v>
      </c>
      <c r="J40" s="39">
        <v>9.5</v>
      </c>
      <c r="K40" s="174">
        <f t="shared" si="11"/>
        <v>0</v>
      </c>
    </row>
    <row r="41" spans="1:11" x14ac:dyDescent="0.2">
      <c r="A41" s="232"/>
      <c r="B41" s="36" t="s">
        <v>15</v>
      </c>
      <c r="C41" s="35" t="s">
        <v>98</v>
      </c>
      <c r="D41" s="36">
        <f t="shared" si="9"/>
        <v>2</v>
      </c>
      <c r="E41" s="38">
        <f t="shared" si="10"/>
        <v>0</v>
      </c>
      <c r="F41" s="37">
        <f>+E41*11/100+E41</f>
        <v>0</v>
      </c>
      <c r="G41" s="37">
        <f t="shared" si="12"/>
        <v>0</v>
      </c>
      <c r="H41" s="37">
        <f t="shared" si="13"/>
        <v>0</v>
      </c>
      <c r="I41" s="38">
        <f t="shared" si="14"/>
        <v>0</v>
      </c>
      <c r="J41" s="39">
        <v>9.5</v>
      </c>
      <c r="K41" s="174">
        <f t="shared" si="11"/>
        <v>0</v>
      </c>
    </row>
    <row r="42" spans="1:11" ht="42" x14ac:dyDescent="0.2">
      <c r="A42" s="232"/>
      <c r="B42" s="36" t="s">
        <v>16</v>
      </c>
      <c r="C42" s="35" t="s">
        <v>157</v>
      </c>
      <c r="D42" s="36">
        <f t="shared" si="9"/>
        <v>3</v>
      </c>
      <c r="E42" s="38">
        <f t="shared" si="10"/>
        <v>0</v>
      </c>
      <c r="F42" s="37">
        <f>+E42*8/100+E42</f>
        <v>0</v>
      </c>
      <c r="G42" s="37">
        <f t="shared" si="12"/>
        <v>0</v>
      </c>
      <c r="H42" s="37">
        <f t="shared" si="13"/>
        <v>0</v>
      </c>
      <c r="I42" s="38">
        <f t="shared" si="14"/>
        <v>0</v>
      </c>
      <c r="J42" s="39">
        <v>9.5</v>
      </c>
      <c r="K42" s="174">
        <f t="shared" si="11"/>
        <v>0</v>
      </c>
    </row>
    <row r="43" spans="1:11" ht="42" x14ac:dyDescent="0.2">
      <c r="A43" s="232"/>
      <c r="B43" s="36" t="s">
        <v>18</v>
      </c>
      <c r="C43" s="35" t="s">
        <v>184</v>
      </c>
      <c r="D43" s="36">
        <f t="shared" si="9"/>
        <v>1</v>
      </c>
      <c r="E43" s="38">
        <f t="shared" si="10"/>
        <v>0</v>
      </c>
      <c r="F43" s="37">
        <f>+E43*10/100+E43</f>
        <v>0</v>
      </c>
      <c r="G43" s="37">
        <f t="shared" si="12"/>
        <v>0</v>
      </c>
      <c r="H43" s="37">
        <f t="shared" si="13"/>
        <v>0</v>
      </c>
      <c r="I43" s="38">
        <f t="shared" si="14"/>
        <v>0</v>
      </c>
      <c r="J43" s="39">
        <v>9.5</v>
      </c>
      <c r="K43" s="174">
        <f t="shared" si="11"/>
        <v>0</v>
      </c>
    </row>
    <row r="44" spans="1:11" ht="42" x14ac:dyDescent="0.2">
      <c r="A44" s="232"/>
      <c r="B44" s="36" t="s">
        <v>19</v>
      </c>
      <c r="C44" s="35" t="s">
        <v>159</v>
      </c>
      <c r="D44" s="36">
        <f t="shared" si="9"/>
        <v>1</v>
      </c>
      <c r="E44" s="38">
        <f t="shared" si="10"/>
        <v>0</v>
      </c>
      <c r="F44" s="37">
        <f>+E44*8/100+E44</f>
        <v>0</v>
      </c>
      <c r="G44" s="37">
        <f t="shared" si="12"/>
        <v>0</v>
      </c>
      <c r="H44" s="37">
        <f t="shared" si="13"/>
        <v>0</v>
      </c>
      <c r="I44" s="38">
        <f t="shared" si="14"/>
        <v>0</v>
      </c>
      <c r="J44" s="39">
        <v>9.5</v>
      </c>
      <c r="K44" s="174">
        <f t="shared" si="11"/>
        <v>0</v>
      </c>
    </row>
    <row r="45" spans="1:11" ht="22" x14ac:dyDescent="0.2">
      <c r="A45" s="232"/>
      <c r="B45" s="36"/>
      <c r="C45" s="40" t="str">
        <f>+C31</f>
        <v xml:space="preserve">TOTAL SERVICIOS REGULADOS </v>
      </c>
      <c r="D45" s="61">
        <f>SUM(D37:D44)</f>
        <v>47</v>
      </c>
      <c r="E45" s="38">
        <f t="shared" si="10"/>
        <v>0</v>
      </c>
      <c r="F45" s="41"/>
      <c r="G45" s="41"/>
      <c r="H45" s="41"/>
      <c r="I45" s="38"/>
      <c r="J45" s="39"/>
      <c r="K45" s="174"/>
    </row>
    <row r="46" spans="1:11" s="50" customFormat="1" ht="38.25" customHeight="1" thickBot="1" x14ac:dyDescent="0.25">
      <c r="A46" s="233"/>
      <c r="B46" s="160"/>
      <c r="C46" s="160"/>
      <c r="D46" s="160"/>
      <c r="E46" s="230" t="s">
        <v>77</v>
      </c>
      <c r="F46" s="230"/>
      <c r="G46" s="230"/>
      <c r="H46" s="230"/>
      <c r="I46" s="230"/>
      <c r="J46" s="230"/>
      <c r="K46" s="175">
        <f>SUM(K37:K45)</f>
        <v>0</v>
      </c>
    </row>
    <row r="47" spans="1:11" ht="22" thickBot="1" x14ac:dyDescent="0.25">
      <c r="E47" s="48"/>
      <c r="F47" s="48"/>
      <c r="G47" s="49"/>
    </row>
    <row r="48" spans="1:11" ht="63.75" customHeight="1" x14ac:dyDescent="0.2">
      <c r="A48" s="223">
        <v>4</v>
      </c>
      <c r="B48" s="226" t="s">
        <v>90</v>
      </c>
      <c r="C48" s="226"/>
      <c r="D48" s="226"/>
      <c r="E48" s="227" t="s">
        <v>88</v>
      </c>
      <c r="F48" s="228"/>
      <c r="G48" s="228"/>
      <c r="H48" s="228"/>
      <c r="I48" s="228"/>
      <c r="J48" s="228"/>
      <c r="K48" s="229"/>
    </row>
    <row r="49" spans="1:11" ht="153" customHeight="1" x14ac:dyDescent="0.2">
      <c r="A49" s="224"/>
      <c r="B49" s="63" t="s">
        <v>1</v>
      </c>
      <c r="C49" s="40" t="s">
        <v>2</v>
      </c>
      <c r="D49" s="63" t="s">
        <v>3</v>
      </c>
      <c r="E49" s="146" t="s">
        <v>180</v>
      </c>
      <c r="F49" s="64" t="s">
        <v>5</v>
      </c>
      <c r="G49" s="64" t="s">
        <v>162</v>
      </c>
      <c r="H49" s="64" t="s">
        <v>163</v>
      </c>
      <c r="I49" s="64" t="s">
        <v>8</v>
      </c>
      <c r="J49" s="64" t="s">
        <v>9</v>
      </c>
      <c r="K49" s="158" t="s">
        <v>164</v>
      </c>
    </row>
    <row r="50" spans="1:11" ht="38.25" customHeight="1" x14ac:dyDescent="0.2">
      <c r="A50" s="224"/>
      <c r="B50" s="36" t="s">
        <v>11</v>
      </c>
      <c r="C50" s="35" t="s">
        <v>96</v>
      </c>
      <c r="D50" s="70">
        <f t="shared" ref="D50:D57" si="15">+D23</f>
        <v>19</v>
      </c>
      <c r="E50" s="38">
        <f>+E37</f>
        <v>0</v>
      </c>
      <c r="F50" s="37">
        <f>+E50*10/100+E50</f>
        <v>0</v>
      </c>
      <c r="G50" s="37">
        <f>+F50*10%</f>
        <v>0</v>
      </c>
      <c r="H50" s="37">
        <f>+G50*0.19</f>
        <v>0</v>
      </c>
      <c r="I50" s="38">
        <f>F50+H50</f>
        <v>0</v>
      </c>
      <c r="J50" s="39">
        <v>1.5</v>
      </c>
      <c r="K50" s="174">
        <f t="shared" ref="K50:K57" si="16">+D50*I50*J50</f>
        <v>0</v>
      </c>
    </row>
    <row r="51" spans="1:11" ht="46.5" customHeight="1" x14ac:dyDescent="0.2">
      <c r="A51" s="224"/>
      <c r="B51" s="36" t="s">
        <v>12</v>
      </c>
      <c r="C51" s="35" t="s">
        <v>97</v>
      </c>
      <c r="D51" s="70">
        <f t="shared" si="15"/>
        <v>1</v>
      </c>
      <c r="E51" s="38">
        <f t="shared" ref="E51:E57" si="17">+E38</f>
        <v>0</v>
      </c>
      <c r="F51" s="37">
        <f>+E51*8/100+E51</f>
        <v>0</v>
      </c>
      <c r="G51" s="37">
        <f t="shared" ref="G51:G57" si="18">+F51*10%</f>
        <v>0</v>
      </c>
      <c r="H51" s="37">
        <f t="shared" ref="H51:H57" si="19">+G51*0.19</f>
        <v>0</v>
      </c>
      <c r="I51" s="38">
        <f t="shared" ref="I51:I57" si="20">F51+H51</f>
        <v>0</v>
      </c>
      <c r="J51" s="39">
        <v>1.5</v>
      </c>
      <c r="K51" s="174">
        <f t="shared" si="16"/>
        <v>0</v>
      </c>
    </row>
    <row r="52" spans="1:11" x14ac:dyDescent="0.2">
      <c r="A52" s="224"/>
      <c r="B52" s="36" t="s">
        <v>13</v>
      </c>
      <c r="C52" s="35" t="s">
        <v>158</v>
      </c>
      <c r="D52" s="70">
        <f t="shared" si="15"/>
        <v>10</v>
      </c>
      <c r="E52" s="38">
        <f t="shared" si="17"/>
        <v>0</v>
      </c>
      <c r="F52" s="37">
        <f>+E52*8/100+E52</f>
        <v>0</v>
      </c>
      <c r="G52" s="37">
        <f t="shared" si="18"/>
        <v>0</v>
      </c>
      <c r="H52" s="37">
        <f t="shared" si="19"/>
        <v>0</v>
      </c>
      <c r="I52" s="38">
        <f t="shared" si="20"/>
        <v>0</v>
      </c>
      <c r="J52" s="39">
        <v>1.5</v>
      </c>
      <c r="K52" s="174">
        <f t="shared" si="16"/>
        <v>0</v>
      </c>
    </row>
    <row r="53" spans="1:11" x14ac:dyDescent="0.2">
      <c r="A53" s="224"/>
      <c r="B53" s="36" t="s">
        <v>14</v>
      </c>
      <c r="C53" s="35" t="s">
        <v>156</v>
      </c>
      <c r="D53" s="70">
        <f t="shared" si="15"/>
        <v>0</v>
      </c>
      <c r="E53" s="38">
        <f t="shared" si="17"/>
        <v>0</v>
      </c>
      <c r="F53" s="37">
        <f>+E53*8/100+E53</f>
        <v>0</v>
      </c>
      <c r="G53" s="37">
        <f t="shared" si="18"/>
        <v>0</v>
      </c>
      <c r="H53" s="37">
        <f t="shared" si="19"/>
        <v>0</v>
      </c>
      <c r="I53" s="38">
        <f t="shared" si="20"/>
        <v>0</v>
      </c>
      <c r="J53" s="39">
        <v>1.5</v>
      </c>
      <c r="K53" s="174">
        <f t="shared" si="16"/>
        <v>0</v>
      </c>
    </row>
    <row r="54" spans="1:11" x14ac:dyDescent="0.2">
      <c r="A54" s="224"/>
      <c r="B54" s="36" t="s">
        <v>15</v>
      </c>
      <c r="C54" s="35" t="s">
        <v>98</v>
      </c>
      <c r="D54" s="70">
        <f t="shared" si="15"/>
        <v>2</v>
      </c>
      <c r="E54" s="38">
        <f t="shared" si="17"/>
        <v>0</v>
      </c>
      <c r="F54" s="37">
        <f>+E54*11/100+E54</f>
        <v>0</v>
      </c>
      <c r="G54" s="37">
        <f t="shared" si="18"/>
        <v>0</v>
      </c>
      <c r="H54" s="37">
        <f t="shared" si="19"/>
        <v>0</v>
      </c>
      <c r="I54" s="38">
        <f t="shared" si="20"/>
        <v>0</v>
      </c>
      <c r="J54" s="39">
        <v>1.5</v>
      </c>
      <c r="K54" s="174">
        <f t="shared" si="16"/>
        <v>0</v>
      </c>
    </row>
    <row r="55" spans="1:11" ht="42" x14ac:dyDescent="0.2">
      <c r="A55" s="224"/>
      <c r="B55" s="36" t="s">
        <v>16</v>
      </c>
      <c r="C55" s="35" t="s">
        <v>157</v>
      </c>
      <c r="D55" s="70">
        <f t="shared" si="15"/>
        <v>1</v>
      </c>
      <c r="E55" s="38">
        <f t="shared" si="17"/>
        <v>0</v>
      </c>
      <c r="F55" s="37">
        <f>+E55*8/100+E55</f>
        <v>0</v>
      </c>
      <c r="G55" s="37">
        <f t="shared" si="18"/>
        <v>0</v>
      </c>
      <c r="H55" s="37">
        <f t="shared" si="19"/>
        <v>0</v>
      </c>
      <c r="I55" s="38">
        <f t="shared" si="20"/>
        <v>0</v>
      </c>
      <c r="J55" s="39">
        <v>1.5</v>
      </c>
      <c r="K55" s="174">
        <f t="shared" si="16"/>
        <v>0</v>
      </c>
    </row>
    <row r="56" spans="1:11" ht="42" x14ac:dyDescent="0.2">
      <c r="A56" s="224"/>
      <c r="B56" s="36" t="s">
        <v>18</v>
      </c>
      <c r="C56" s="35" t="s">
        <v>184</v>
      </c>
      <c r="D56" s="70">
        <f t="shared" si="15"/>
        <v>0</v>
      </c>
      <c r="E56" s="38">
        <f t="shared" si="17"/>
        <v>0</v>
      </c>
      <c r="F56" s="37">
        <f>+E56*10/100+E56</f>
        <v>0</v>
      </c>
      <c r="G56" s="37">
        <f t="shared" si="18"/>
        <v>0</v>
      </c>
      <c r="H56" s="37">
        <f t="shared" si="19"/>
        <v>0</v>
      </c>
      <c r="I56" s="38">
        <f t="shared" si="20"/>
        <v>0</v>
      </c>
      <c r="J56" s="39">
        <v>1.5</v>
      </c>
      <c r="K56" s="174">
        <f t="shared" si="16"/>
        <v>0</v>
      </c>
    </row>
    <row r="57" spans="1:11" ht="42" x14ac:dyDescent="0.2">
      <c r="A57" s="224"/>
      <c r="B57" s="36" t="s">
        <v>19</v>
      </c>
      <c r="C57" s="35" t="s">
        <v>159</v>
      </c>
      <c r="D57" s="70">
        <f t="shared" si="15"/>
        <v>1</v>
      </c>
      <c r="E57" s="38">
        <f t="shared" si="17"/>
        <v>0</v>
      </c>
      <c r="F57" s="37">
        <f>+E57*8/100+E57</f>
        <v>0</v>
      </c>
      <c r="G57" s="37">
        <f t="shared" si="18"/>
        <v>0</v>
      </c>
      <c r="H57" s="37">
        <f t="shared" si="19"/>
        <v>0</v>
      </c>
      <c r="I57" s="38">
        <f t="shared" si="20"/>
        <v>0</v>
      </c>
      <c r="J57" s="39">
        <v>1.5</v>
      </c>
      <c r="K57" s="174">
        <f t="shared" si="16"/>
        <v>0</v>
      </c>
    </row>
    <row r="58" spans="1:11" ht="22" x14ac:dyDescent="0.2">
      <c r="A58" s="224"/>
      <c r="B58" s="36"/>
      <c r="C58" s="40" t="str">
        <f>+C45</f>
        <v xml:space="preserve">TOTAL SERVICIOS REGULADOS </v>
      </c>
      <c r="D58" s="61">
        <f>SUM(D50:D57)</f>
        <v>34</v>
      </c>
      <c r="E58" s="38"/>
      <c r="F58" s="41"/>
      <c r="G58" s="41"/>
      <c r="H58" s="41"/>
      <c r="I58" s="38"/>
      <c r="J58" s="39"/>
      <c r="K58" s="174"/>
    </row>
    <row r="59" spans="1:11" s="50" customFormat="1" ht="38.25" customHeight="1" thickBot="1" x14ac:dyDescent="0.25">
      <c r="A59" s="225"/>
      <c r="B59" s="160"/>
      <c r="C59" s="160"/>
      <c r="D59" s="160"/>
      <c r="E59" s="230" t="s">
        <v>77</v>
      </c>
      <c r="F59" s="230"/>
      <c r="G59" s="230"/>
      <c r="H59" s="230"/>
      <c r="I59" s="230"/>
      <c r="J59" s="230"/>
      <c r="K59" s="175">
        <f>SUM(K50:K58)</f>
        <v>0</v>
      </c>
    </row>
    <row r="60" spans="1:11" ht="53.25" customHeight="1" thickBot="1" x14ac:dyDescent="0.25">
      <c r="B60" s="33"/>
      <c r="C60" s="33"/>
      <c r="D60" s="33"/>
      <c r="E60" s="48"/>
      <c r="F60" s="48"/>
      <c r="G60" s="49"/>
    </row>
    <row r="61" spans="1:11" ht="60" customHeight="1" x14ac:dyDescent="0.2">
      <c r="B61" s="33"/>
      <c r="C61" s="33"/>
      <c r="D61" s="33"/>
      <c r="E61" s="48"/>
      <c r="F61" s="214">
        <v>5</v>
      </c>
      <c r="G61" s="217" t="s">
        <v>179</v>
      </c>
      <c r="H61" s="220" t="s">
        <v>21</v>
      </c>
      <c r="I61" s="220"/>
      <c r="J61" s="149" t="s">
        <v>172</v>
      </c>
    </row>
    <row r="62" spans="1:11" ht="60" customHeight="1" x14ac:dyDescent="0.2">
      <c r="B62" s="33"/>
      <c r="C62" s="33"/>
      <c r="D62" s="33"/>
      <c r="E62" s="48"/>
      <c r="F62" s="215"/>
      <c r="G62" s="218"/>
      <c r="H62" s="182">
        <v>2023</v>
      </c>
      <c r="I62" s="182"/>
      <c r="J62" s="150">
        <f>+K19+K32</f>
        <v>0</v>
      </c>
    </row>
    <row r="63" spans="1:11" ht="60" customHeight="1" x14ac:dyDescent="0.2">
      <c r="B63" s="33"/>
      <c r="C63" s="33"/>
      <c r="D63" s="33"/>
      <c r="E63" s="48"/>
      <c r="F63" s="215"/>
      <c r="G63" s="218"/>
      <c r="H63" s="182">
        <v>2024</v>
      </c>
      <c r="I63" s="182"/>
      <c r="J63" s="151">
        <f>+K46+K59</f>
        <v>0</v>
      </c>
    </row>
    <row r="64" spans="1:11" ht="37.5" customHeight="1" thickBot="1" x14ac:dyDescent="0.25">
      <c r="B64" s="33"/>
      <c r="C64" s="33"/>
      <c r="D64" s="33"/>
      <c r="E64" s="48"/>
      <c r="F64" s="216"/>
      <c r="G64" s="219"/>
      <c r="H64" s="221" t="s">
        <v>91</v>
      </c>
      <c r="I64" s="222"/>
      <c r="J64" s="152">
        <f>+J62+J63</f>
        <v>0</v>
      </c>
    </row>
    <row r="66" spans="15:16" x14ac:dyDescent="0.2">
      <c r="O66" s="2"/>
      <c r="P66" s="1"/>
    </row>
    <row r="67" spans="15:16" x14ac:dyDescent="0.2">
      <c r="O67" s="2"/>
      <c r="P67" s="1"/>
    </row>
    <row r="68" spans="15:16" x14ac:dyDescent="0.2">
      <c r="O68" s="2"/>
      <c r="P68" s="1"/>
    </row>
    <row r="69" spans="15:16" x14ac:dyDescent="0.2">
      <c r="O69" s="2"/>
      <c r="P69" s="1"/>
    </row>
    <row r="70" spans="15:16" x14ac:dyDescent="0.2">
      <c r="O70" s="2"/>
      <c r="P70" s="1"/>
    </row>
    <row r="71" spans="15:16" x14ac:dyDescent="0.2">
      <c r="O71" s="2"/>
      <c r="P71" s="1"/>
    </row>
    <row r="72" spans="15:16" x14ac:dyDescent="0.2">
      <c r="O72" s="2"/>
      <c r="P72" s="1"/>
    </row>
    <row r="73" spans="15:16" x14ac:dyDescent="0.2">
      <c r="O73" s="2"/>
      <c r="P73" s="1"/>
    </row>
    <row r="74" spans="15:16" x14ac:dyDescent="0.2">
      <c r="O74" s="2"/>
      <c r="P74" s="1"/>
    </row>
    <row r="75" spans="15:16" x14ac:dyDescent="0.2">
      <c r="O75" s="2"/>
      <c r="P75" s="1"/>
    </row>
    <row r="76" spans="15:16" x14ac:dyDescent="0.2">
      <c r="O76" s="2"/>
      <c r="P76" s="1"/>
    </row>
    <row r="77" spans="15:16" x14ac:dyDescent="0.2">
      <c r="O77" s="2"/>
      <c r="P77" s="1"/>
    </row>
    <row r="78" spans="15:16" x14ac:dyDescent="0.2">
      <c r="O78" s="2"/>
      <c r="P78" s="1"/>
    </row>
    <row r="79" spans="15:16" x14ac:dyDescent="0.2">
      <c r="O79" s="2"/>
      <c r="P79" s="1"/>
    </row>
    <row r="80" spans="15:16" x14ac:dyDescent="0.2">
      <c r="O80" s="2"/>
      <c r="P80" s="1"/>
    </row>
    <row r="81" spans="2:16" x14ac:dyDescent="0.2">
      <c r="O81" s="2"/>
      <c r="P81" s="1"/>
    </row>
    <row r="82" spans="2:16" x14ac:dyDescent="0.2">
      <c r="O82" s="2"/>
      <c r="P82" s="1"/>
    </row>
    <row r="83" spans="2:16" x14ac:dyDescent="0.2">
      <c r="O83" s="2"/>
      <c r="P83" s="1"/>
    </row>
    <row r="84" spans="2:16" x14ac:dyDescent="0.2">
      <c r="O84" s="2"/>
      <c r="P84" s="1"/>
    </row>
    <row r="85" spans="2:16" x14ac:dyDescent="0.2">
      <c r="O85" s="2"/>
      <c r="P85" s="1"/>
    </row>
    <row r="86" spans="2:16" x14ac:dyDescent="0.2">
      <c r="O86" s="2"/>
      <c r="P86" s="1"/>
    </row>
    <row r="87" spans="2:16" x14ac:dyDescent="0.2">
      <c r="O87" s="2"/>
      <c r="P87" s="1"/>
    </row>
    <row r="88" spans="2:16" x14ac:dyDescent="0.2">
      <c r="O88" s="2"/>
      <c r="P88" s="1"/>
    </row>
    <row r="89" spans="2:16" x14ac:dyDescent="0.2">
      <c r="O89" s="2"/>
      <c r="P89" s="1"/>
    </row>
    <row r="90" spans="2:16" x14ac:dyDescent="0.2">
      <c r="O90" s="2"/>
      <c r="P90" s="1"/>
    </row>
    <row r="91" spans="2:16" x14ac:dyDescent="0.2">
      <c r="O91" s="2"/>
      <c r="P91" s="1"/>
    </row>
    <row r="92" spans="2:16" x14ac:dyDescent="0.2">
      <c r="O92" s="2"/>
      <c r="P92" s="1"/>
    </row>
    <row r="93" spans="2:16" x14ac:dyDescent="0.2">
      <c r="O93" s="2"/>
      <c r="P93" s="1"/>
    </row>
    <row r="94" spans="2:16" x14ac:dyDescent="0.2">
      <c r="B94" s="1"/>
      <c r="C94" s="5"/>
      <c r="D94" s="31"/>
      <c r="E94" s="5"/>
      <c r="F94" s="5"/>
      <c r="G94" s="1"/>
      <c r="H94" s="1"/>
      <c r="I94" s="1"/>
      <c r="J94" s="1"/>
      <c r="K94" s="5"/>
      <c r="L94" s="5"/>
      <c r="M94" s="1"/>
      <c r="N94" s="1"/>
      <c r="O94" s="2"/>
      <c r="P94" s="1"/>
    </row>
    <row r="95" spans="2:16" x14ac:dyDescent="0.2">
      <c r="B95" s="1"/>
      <c r="C95" s="5"/>
      <c r="D95" s="31"/>
      <c r="E95" s="5"/>
      <c r="F95" s="5"/>
      <c r="G95" s="1"/>
      <c r="H95" s="1"/>
      <c r="I95" s="1"/>
      <c r="J95" s="1"/>
      <c r="K95" s="5"/>
      <c r="L95" s="5"/>
      <c r="M95" s="1"/>
      <c r="N95" s="1"/>
      <c r="O95" s="2"/>
      <c r="P95" s="1"/>
    </row>
    <row r="96" spans="2:16" x14ac:dyDescent="0.2">
      <c r="B96" s="1"/>
      <c r="C96" s="5"/>
      <c r="D96" s="31"/>
      <c r="E96" s="5"/>
      <c r="F96" s="5"/>
      <c r="G96" s="1"/>
      <c r="H96" s="1"/>
      <c r="I96" s="1"/>
      <c r="J96" s="1"/>
      <c r="K96" s="5"/>
      <c r="L96" s="5"/>
      <c r="M96" s="1"/>
      <c r="N96" s="1"/>
      <c r="O96" s="2"/>
      <c r="P96" s="1"/>
    </row>
    <row r="97" spans="2:16" x14ac:dyDescent="0.2">
      <c r="B97" s="1"/>
      <c r="C97" s="5"/>
      <c r="D97" s="31"/>
      <c r="E97" s="5"/>
      <c r="F97" s="5"/>
      <c r="G97" s="1"/>
      <c r="H97" s="1"/>
      <c r="I97" s="1"/>
      <c r="J97" s="1"/>
      <c r="K97" s="5"/>
      <c r="L97" s="5"/>
      <c r="M97" s="1"/>
      <c r="N97" s="1"/>
      <c r="O97" s="2"/>
      <c r="P97" s="1"/>
    </row>
    <row r="98" spans="2:16" x14ac:dyDescent="0.2">
      <c r="B98" s="1"/>
      <c r="C98" s="5"/>
      <c r="D98" s="31"/>
      <c r="E98" s="5"/>
      <c r="F98" s="5"/>
      <c r="G98" s="1"/>
      <c r="H98" s="1"/>
      <c r="I98" s="1"/>
      <c r="J98" s="1"/>
      <c r="K98" s="5"/>
      <c r="L98" s="5"/>
      <c r="M98" s="1"/>
      <c r="N98" s="1"/>
      <c r="O98" s="2"/>
      <c r="P98" s="1"/>
    </row>
    <row r="99" spans="2:16" x14ac:dyDescent="0.2">
      <c r="B99" s="1"/>
      <c r="C99" s="5"/>
      <c r="D99" s="31"/>
      <c r="E99" s="5"/>
      <c r="F99" s="5"/>
      <c r="G99" s="1"/>
      <c r="H99" s="1"/>
      <c r="I99" s="1"/>
      <c r="J99" s="1"/>
      <c r="K99" s="5"/>
      <c r="L99" s="5"/>
      <c r="M99" s="1"/>
      <c r="N99" s="1"/>
      <c r="O99" s="2"/>
      <c r="P99" s="1"/>
    </row>
    <row r="100" spans="2:16" x14ac:dyDescent="0.2">
      <c r="B100" s="1"/>
      <c r="C100" s="5"/>
      <c r="D100" s="31"/>
      <c r="E100" s="5"/>
      <c r="F100" s="5"/>
      <c r="G100" s="1"/>
      <c r="H100" s="1"/>
      <c r="I100" s="1"/>
      <c r="J100" s="1"/>
      <c r="K100" s="5"/>
      <c r="L100" s="5"/>
      <c r="M100" s="1"/>
      <c r="N100" s="1"/>
      <c r="O100" s="2"/>
      <c r="P100" s="1"/>
    </row>
    <row r="101" spans="2:16" x14ac:dyDescent="0.2">
      <c r="B101" s="1"/>
      <c r="C101" s="5"/>
      <c r="D101" s="31"/>
      <c r="E101" s="5"/>
      <c r="F101" s="5"/>
      <c r="G101" s="1"/>
      <c r="H101" s="1"/>
      <c r="I101" s="1"/>
      <c r="J101" s="1"/>
      <c r="K101" s="5"/>
      <c r="L101" s="5"/>
      <c r="M101" s="1"/>
      <c r="N101" s="1"/>
      <c r="O101" s="2"/>
      <c r="P101" s="1"/>
    </row>
    <row r="102" spans="2:16" x14ac:dyDescent="0.2">
      <c r="B102" s="1"/>
      <c r="C102" s="5"/>
      <c r="D102" s="31"/>
      <c r="E102" s="5"/>
      <c r="F102" s="5"/>
      <c r="G102" s="1"/>
      <c r="H102" s="1"/>
      <c r="I102" s="1"/>
      <c r="J102" s="1"/>
      <c r="K102" s="5"/>
      <c r="L102" s="5"/>
      <c r="M102" s="1"/>
      <c r="N102" s="1"/>
      <c r="O102" s="2"/>
      <c r="P102" s="1"/>
    </row>
    <row r="103" spans="2:16" x14ac:dyDescent="0.2">
      <c r="B103" s="1"/>
      <c r="C103" s="5"/>
      <c r="D103" s="31"/>
      <c r="E103" s="5"/>
      <c r="F103" s="5"/>
      <c r="G103" s="1"/>
      <c r="H103" s="1"/>
      <c r="I103" s="1"/>
      <c r="J103" s="1"/>
      <c r="K103" s="5"/>
      <c r="L103" s="5"/>
      <c r="M103" s="1"/>
      <c r="N103" s="1"/>
      <c r="O103" s="2"/>
      <c r="P103" s="1"/>
    </row>
  </sheetData>
  <mergeCells count="27">
    <mergeCell ref="A21:A32"/>
    <mergeCell ref="B21:D21"/>
    <mergeCell ref="E21:K21"/>
    <mergeCell ref="E32:J32"/>
    <mergeCell ref="A1:K1"/>
    <mergeCell ref="A2:K2"/>
    <mergeCell ref="A3:K3"/>
    <mergeCell ref="A5:K5"/>
    <mergeCell ref="A8:A19"/>
    <mergeCell ref="B8:D8"/>
    <mergeCell ref="E8:K8"/>
    <mergeCell ref="E19:J19"/>
    <mergeCell ref="B34:D34"/>
    <mergeCell ref="A48:A59"/>
    <mergeCell ref="B48:D48"/>
    <mergeCell ref="E48:K48"/>
    <mergeCell ref="E59:J59"/>
    <mergeCell ref="A35:A46"/>
    <mergeCell ref="B35:D35"/>
    <mergeCell ref="E35:K35"/>
    <mergeCell ref="E46:J46"/>
    <mergeCell ref="F61:F64"/>
    <mergeCell ref="G61:G64"/>
    <mergeCell ref="H61:I61"/>
    <mergeCell ref="H62:I62"/>
    <mergeCell ref="H63:I63"/>
    <mergeCell ref="H64:I64"/>
  </mergeCells>
  <pageMargins left="0.7" right="0.7" top="0.75" bottom="0.75" header="0.3" footer="0.3"/>
  <pageSetup paperSize="5" scale="37" orientation="landscape" r:id="rId1"/>
  <rowBreaks count="1" manualBreakCount="1">
    <brk id="33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D194E-EC46-4284-813B-F37CE3ABFAFC}">
  <dimension ref="A1:J21"/>
  <sheetViews>
    <sheetView zoomScale="55" zoomScaleNormal="55" workbookViewId="0">
      <selection activeCell="L15" sqref="L15"/>
    </sheetView>
  </sheetViews>
  <sheetFormatPr baseColWidth="10" defaultColWidth="11.5" defaultRowHeight="21" x14ac:dyDescent="0.2"/>
  <cols>
    <col min="1" max="1" width="11.5" style="33"/>
    <col min="2" max="2" width="14.5" style="45" customWidth="1"/>
    <col min="3" max="3" width="72.5" style="46" customWidth="1"/>
    <col min="4" max="4" width="20.1640625" style="45" customWidth="1"/>
    <col min="5" max="5" width="29.83203125" style="33" customWidth="1"/>
    <col min="6" max="6" width="29.83203125" style="47" customWidth="1"/>
    <col min="7" max="10" width="29.83203125" style="33" customWidth="1"/>
    <col min="11" max="11" width="72.33203125" style="33" customWidth="1"/>
    <col min="12" max="12" width="21.83203125" style="33" bestFit="1" customWidth="1"/>
    <col min="13" max="13" width="18.5" style="33" bestFit="1" customWidth="1"/>
    <col min="14" max="19" width="27.83203125" style="33" customWidth="1"/>
    <col min="20" max="16384" width="11.5" style="33"/>
  </cols>
  <sheetData>
    <row r="1" spans="1:10" x14ac:dyDescent="0.2">
      <c r="A1" s="177" t="s">
        <v>50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x14ac:dyDescent="0.2">
      <c r="A2" s="178" t="s">
        <v>51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x14ac:dyDescent="0.2">
      <c r="A3" s="178" t="s">
        <v>52</v>
      </c>
      <c r="B3" s="178"/>
      <c r="C3" s="178"/>
      <c r="D3" s="178"/>
      <c r="E3" s="178"/>
      <c r="F3" s="178"/>
      <c r="G3" s="178"/>
      <c r="H3" s="178"/>
      <c r="I3" s="178"/>
      <c r="J3" s="178"/>
    </row>
    <row r="5" spans="1:10" x14ac:dyDescent="0.2">
      <c r="A5" s="178" t="s">
        <v>166</v>
      </c>
      <c r="B5" s="178"/>
      <c r="C5" s="178"/>
      <c r="D5" s="178"/>
      <c r="E5" s="178"/>
      <c r="F5" s="178"/>
      <c r="G5" s="178"/>
      <c r="H5" s="178"/>
      <c r="I5" s="178"/>
      <c r="J5" s="178"/>
    </row>
    <row r="6" spans="1:10" ht="22" thickBot="1" x14ac:dyDescent="0.25">
      <c r="E6" s="48"/>
      <c r="F6" s="49"/>
    </row>
    <row r="7" spans="1:10" x14ac:dyDescent="0.2">
      <c r="A7" s="240">
        <v>1</v>
      </c>
      <c r="B7" s="251" t="s">
        <v>178</v>
      </c>
      <c r="C7" s="252"/>
      <c r="D7" s="252"/>
      <c r="E7" s="252"/>
      <c r="F7" s="252"/>
      <c r="G7" s="252"/>
      <c r="H7" s="252"/>
      <c r="I7" s="252"/>
      <c r="J7" s="253"/>
    </row>
    <row r="8" spans="1:10" ht="88" x14ac:dyDescent="0.2">
      <c r="A8" s="241"/>
      <c r="B8" s="63" t="s">
        <v>1</v>
      </c>
      <c r="C8" s="64" t="s">
        <v>2</v>
      </c>
      <c r="D8" s="63" t="s">
        <v>3</v>
      </c>
      <c r="E8" s="53" t="s">
        <v>167</v>
      </c>
      <c r="F8" s="64" t="s">
        <v>162</v>
      </c>
      <c r="G8" s="64" t="s">
        <v>163</v>
      </c>
      <c r="H8" s="64" t="s">
        <v>8</v>
      </c>
      <c r="I8" s="64" t="s">
        <v>9</v>
      </c>
      <c r="J8" s="158" t="s">
        <v>164</v>
      </c>
    </row>
    <row r="9" spans="1:10" x14ac:dyDescent="0.2">
      <c r="A9" s="241"/>
      <c r="B9" s="36" t="s">
        <v>46</v>
      </c>
      <c r="C9" s="43" t="s">
        <v>61</v>
      </c>
      <c r="D9" s="36">
        <v>1</v>
      </c>
      <c r="E9" s="37"/>
      <c r="F9" s="37">
        <f>+E9*10%</f>
        <v>0</v>
      </c>
      <c r="G9" s="37">
        <f>+F9*0.19</f>
        <v>0</v>
      </c>
      <c r="H9" s="38">
        <f>E9+G9</f>
        <v>0</v>
      </c>
      <c r="I9" s="39">
        <v>11.5</v>
      </c>
      <c r="J9" s="159">
        <f>+D9*H9*I9</f>
        <v>0</v>
      </c>
    </row>
    <row r="10" spans="1:10" ht="386.25" customHeight="1" x14ac:dyDescent="0.2">
      <c r="A10" s="241"/>
      <c r="B10" s="36" t="s">
        <v>62</v>
      </c>
      <c r="C10" s="44" t="s">
        <v>168</v>
      </c>
      <c r="D10" s="36">
        <v>1</v>
      </c>
      <c r="E10" s="38"/>
      <c r="F10" s="37">
        <f>+E10*10%</f>
        <v>0</v>
      </c>
      <c r="G10" s="37">
        <f>+F10*0.19</f>
        <v>0</v>
      </c>
      <c r="H10" s="38">
        <f>E10+G10</f>
        <v>0</v>
      </c>
      <c r="I10" s="39">
        <v>11.5</v>
      </c>
      <c r="J10" s="159">
        <f>+D10*H10*I10</f>
        <v>0</v>
      </c>
    </row>
    <row r="11" spans="1:10" s="50" customFormat="1" ht="22" thickBot="1" x14ac:dyDescent="0.25">
      <c r="A11" s="242"/>
      <c r="B11" s="160"/>
      <c r="C11" s="160"/>
      <c r="D11" s="160"/>
      <c r="E11" s="246"/>
      <c r="F11" s="246"/>
      <c r="G11" s="246"/>
      <c r="H11" s="246"/>
      <c r="I11" s="222"/>
      <c r="J11" s="161">
        <f>SUM(J9:J10)</f>
        <v>0</v>
      </c>
    </row>
    <row r="12" spans="1:10" x14ac:dyDescent="0.2">
      <c r="A12" s="240">
        <v>2</v>
      </c>
      <c r="B12" s="243" t="s">
        <v>169</v>
      </c>
      <c r="C12" s="244"/>
      <c r="D12" s="244"/>
      <c r="E12" s="244"/>
      <c r="F12" s="244"/>
      <c r="G12" s="244"/>
      <c r="H12" s="244"/>
      <c r="I12" s="244"/>
      <c r="J12" s="245"/>
    </row>
    <row r="13" spans="1:10" ht="88" x14ac:dyDescent="0.2">
      <c r="A13" s="241"/>
      <c r="B13" s="63" t="s">
        <v>1</v>
      </c>
      <c r="C13" s="64" t="s">
        <v>2</v>
      </c>
      <c r="D13" s="63" t="s">
        <v>3</v>
      </c>
      <c r="E13" s="53" t="s">
        <v>170</v>
      </c>
      <c r="F13" s="64" t="s">
        <v>162</v>
      </c>
      <c r="G13" s="64" t="s">
        <v>163</v>
      </c>
      <c r="H13" s="64" t="s">
        <v>8</v>
      </c>
      <c r="I13" s="64" t="s">
        <v>9</v>
      </c>
      <c r="J13" s="158" t="s">
        <v>164</v>
      </c>
    </row>
    <row r="14" spans="1:10" x14ac:dyDescent="0.2">
      <c r="A14" s="241"/>
      <c r="B14" s="36" t="s">
        <v>46</v>
      </c>
      <c r="C14" s="43" t="s">
        <v>174</v>
      </c>
      <c r="D14" s="36">
        <v>1</v>
      </c>
      <c r="E14" s="37">
        <f>+E9*1.1</f>
        <v>0</v>
      </c>
      <c r="F14" s="37">
        <f>+E14*10%</f>
        <v>0</v>
      </c>
      <c r="G14" s="37">
        <f>+F14*0.19</f>
        <v>0</v>
      </c>
      <c r="H14" s="38">
        <f>E14+G14</f>
        <v>0</v>
      </c>
      <c r="I14" s="39">
        <v>11</v>
      </c>
      <c r="J14" s="159">
        <f>+D14*H14*I14</f>
        <v>0</v>
      </c>
    </row>
    <row r="15" spans="1:10" ht="377.25" customHeight="1" x14ac:dyDescent="0.2">
      <c r="A15" s="241"/>
      <c r="B15" s="36" t="s">
        <v>62</v>
      </c>
      <c r="C15" s="44" t="s">
        <v>168</v>
      </c>
      <c r="D15" s="36">
        <v>1</v>
      </c>
      <c r="E15" s="38">
        <f>+E10*1.1</f>
        <v>0</v>
      </c>
      <c r="F15" s="37">
        <f>+E15*10%</f>
        <v>0</v>
      </c>
      <c r="G15" s="37">
        <f>+F15*0.19</f>
        <v>0</v>
      </c>
      <c r="H15" s="38">
        <f>E15+G15</f>
        <v>0</v>
      </c>
      <c r="I15" s="39">
        <v>11</v>
      </c>
      <c r="J15" s="159">
        <f>+D15*H15*I15</f>
        <v>0</v>
      </c>
    </row>
    <row r="16" spans="1:10" s="50" customFormat="1" ht="22" thickBot="1" x14ac:dyDescent="0.25">
      <c r="A16" s="242"/>
      <c r="B16" s="160"/>
      <c r="C16" s="160"/>
      <c r="D16" s="160"/>
      <c r="E16" s="246"/>
      <c r="F16" s="246"/>
      <c r="G16" s="246"/>
      <c r="H16" s="246"/>
      <c r="I16" s="222"/>
      <c r="J16" s="162">
        <f>SUM(J14:J15)</f>
        <v>0</v>
      </c>
    </row>
    <row r="17" spans="5:8" s="33" customFormat="1" ht="22" thickBot="1" x14ac:dyDescent="0.25">
      <c r="E17" s="48"/>
      <c r="F17" s="49"/>
    </row>
    <row r="18" spans="5:8" s="33" customFormat="1" ht="44" x14ac:dyDescent="0.2">
      <c r="E18" s="247">
        <v>3</v>
      </c>
      <c r="F18" s="250" t="s">
        <v>171</v>
      </c>
      <c r="G18" s="154" t="s">
        <v>21</v>
      </c>
      <c r="H18" s="149" t="s">
        <v>172</v>
      </c>
    </row>
    <row r="19" spans="5:8" s="33" customFormat="1" ht="58.5" customHeight="1" x14ac:dyDescent="0.2">
      <c r="E19" s="248"/>
      <c r="F19" s="186"/>
      <c r="G19" s="64">
        <v>2023</v>
      </c>
      <c r="H19" s="155">
        <f>+J11</f>
        <v>0</v>
      </c>
    </row>
    <row r="20" spans="5:8" s="33" customFormat="1" ht="102.75" customHeight="1" x14ac:dyDescent="0.2">
      <c r="E20" s="249"/>
      <c r="F20" s="186"/>
      <c r="G20" s="64">
        <v>2024</v>
      </c>
      <c r="H20" s="156">
        <f>+J16</f>
        <v>0</v>
      </c>
    </row>
    <row r="21" spans="5:8" s="33" customFormat="1" ht="20.25" customHeight="1" thickBot="1" x14ac:dyDescent="0.25">
      <c r="E21" s="237" t="s">
        <v>172</v>
      </c>
      <c r="F21" s="238"/>
      <c r="G21" s="239"/>
      <c r="H21" s="157">
        <f>+H19+H20</f>
        <v>0</v>
      </c>
    </row>
  </sheetData>
  <mergeCells count="13">
    <mergeCell ref="A1:J1"/>
    <mergeCell ref="A2:J2"/>
    <mergeCell ref="A3:J3"/>
    <mergeCell ref="A5:J5"/>
    <mergeCell ref="A7:A11"/>
    <mergeCell ref="B7:J7"/>
    <mergeCell ref="E11:I11"/>
    <mergeCell ref="E21:G21"/>
    <mergeCell ref="A12:A16"/>
    <mergeCell ref="B12:J12"/>
    <mergeCell ref="E16:I16"/>
    <mergeCell ref="E18:E20"/>
    <mergeCell ref="F18:F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1"/>
  <sheetViews>
    <sheetView tabSelected="1" topLeftCell="A49" zoomScale="55" zoomScaleNormal="55" workbookViewId="0">
      <selection activeCell="I24" sqref="I24"/>
    </sheetView>
  </sheetViews>
  <sheetFormatPr baseColWidth="10" defaultColWidth="11.5" defaultRowHeight="21" x14ac:dyDescent="0.2"/>
  <cols>
    <col min="1" max="1" width="11.5" style="33"/>
    <col min="2" max="2" width="12.5" style="45" customWidth="1"/>
    <col min="3" max="3" width="93.5" style="46" customWidth="1"/>
    <col min="4" max="4" width="20.1640625" style="45" customWidth="1"/>
    <col min="5" max="5" width="43.33203125" style="33" customWidth="1"/>
    <col min="6" max="6" width="31.5" style="33" customWidth="1"/>
    <col min="7" max="7" width="34.5" style="47" customWidth="1"/>
    <col min="8" max="8" width="29.83203125" style="33" customWidth="1"/>
    <col min="9" max="9" width="34" style="33" customWidth="1"/>
    <col min="10" max="10" width="30.33203125" style="33" customWidth="1"/>
    <col min="11" max="11" width="35.33203125" style="33" customWidth="1"/>
    <col min="12" max="12" width="11.5" style="33" customWidth="1"/>
    <col min="13" max="13" width="72.33203125" style="33" customWidth="1"/>
    <col min="14" max="14" width="21.83203125" style="33" bestFit="1" customWidth="1"/>
    <col min="15" max="15" width="18.5" style="33" bestFit="1" customWidth="1"/>
    <col min="16" max="21" width="27.83203125" style="33" customWidth="1"/>
    <col min="22" max="16384" width="11.5" style="33"/>
  </cols>
  <sheetData>
    <row r="1" spans="1:11" ht="28.5" customHeight="1" x14ac:dyDescent="0.2">
      <c r="A1" s="17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x14ac:dyDescent="0.2">
      <c r="A2" s="178" t="s">
        <v>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x14ac:dyDescent="0.2">
      <c r="A3" s="178" t="s">
        <v>52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5" spans="1:11" ht="28.5" customHeight="1" x14ac:dyDescent="0.2">
      <c r="A5" s="178" t="s">
        <v>187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28.5" customHeight="1" x14ac:dyDescent="0.2">
      <c r="A6" s="59"/>
      <c r="B6" s="59"/>
      <c r="C6" s="59"/>
      <c r="D6" s="59"/>
      <c r="E6" s="34"/>
      <c r="F6" s="34"/>
      <c r="G6" s="34"/>
    </row>
    <row r="7" spans="1:11" x14ac:dyDescent="0.2">
      <c r="E7" s="48"/>
      <c r="F7" s="48"/>
      <c r="G7" s="49"/>
    </row>
    <row r="8" spans="1:11" ht="62.25" customHeight="1" x14ac:dyDescent="0.2">
      <c r="A8" s="179">
        <v>1</v>
      </c>
      <c r="B8" s="180" t="s">
        <v>72</v>
      </c>
      <c r="C8" s="180"/>
      <c r="D8" s="180"/>
      <c r="E8" s="187" t="s">
        <v>71</v>
      </c>
      <c r="F8" s="188"/>
      <c r="G8" s="188"/>
      <c r="H8" s="188"/>
      <c r="I8" s="188"/>
      <c r="J8" s="188"/>
      <c r="K8" s="188"/>
    </row>
    <row r="9" spans="1:11" ht="135" customHeight="1" x14ac:dyDescent="0.2">
      <c r="A9" s="179"/>
      <c r="B9" s="63" t="s">
        <v>1</v>
      </c>
      <c r="C9" s="40" t="s">
        <v>2</v>
      </c>
      <c r="D9" s="63" t="s">
        <v>3</v>
      </c>
      <c r="E9" s="146" t="s">
        <v>182</v>
      </c>
      <c r="F9" s="64" t="s">
        <v>5</v>
      </c>
      <c r="G9" s="64" t="s">
        <v>162</v>
      </c>
      <c r="H9" s="64" t="s">
        <v>163</v>
      </c>
      <c r="I9" s="64" t="s">
        <v>8</v>
      </c>
      <c r="J9" s="64" t="s">
        <v>9</v>
      </c>
      <c r="K9" s="65" t="s">
        <v>164</v>
      </c>
    </row>
    <row r="10" spans="1:11" x14ac:dyDescent="0.2">
      <c r="A10" s="179"/>
      <c r="B10" s="36" t="s">
        <v>11</v>
      </c>
      <c r="C10" s="35" t="s">
        <v>96</v>
      </c>
      <c r="D10" s="36">
        <f>+'Servicios CLASE'!C50</f>
        <v>19</v>
      </c>
      <c r="E10" s="38">
        <f>+'PROFORMA 5 ANEXO 1'!E10</f>
        <v>0</v>
      </c>
      <c r="F10" s="37">
        <f>+E10*10/100+E10</f>
        <v>0</v>
      </c>
      <c r="G10" s="37">
        <f>+F10*10%</f>
        <v>0</v>
      </c>
      <c r="H10" s="37">
        <f>+G10*0.19</f>
        <v>0</v>
      </c>
      <c r="I10" s="38">
        <f>F10+H10</f>
        <v>0</v>
      </c>
      <c r="J10" s="39">
        <v>10</v>
      </c>
      <c r="K10" s="66">
        <f>+D10*I10*J10</f>
        <v>0</v>
      </c>
    </row>
    <row r="11" spans="1:11" x14ac:dyDescent="0.2">
      <c r="A11" s="179"/>
      <c r="B11" s="36" t="s">
        <v>12</v>
      </c>
      <c r="C11" s="35" t="s">
        <v>97</v>
      </c>
      <c r="D11" s="36">
        <f>+'Servicios CLASE'!D50</f>
        <v>1</v>
      </c>
      <c r="E11" s="38">
        <f>+'PROFORMA 5 ANEXO 1'!E11</f>
        <v>0</v>
      </c>
      <c r="F11" s="37">
        <f>+E11*8/100+E11</f>
        <v>0</v>
      </c>
      <c r="G11" s="37">
        <f t="shared" ref="G11:G17" si="0">+F11*10%</f>
        <v>0</v>
      </c>
      <c r="H11" s="37">
        <f t="shared" ref="H11:H17" si="1">+G11*0.19</f>
        <v>0</v>
      </c>
      <c r="I11" s="38">
        <f t="shared" ref="I11:I17" si="2">F11+H11</f>
        <v>0</v>
      </c>
      <c r="J11" s="39">
        <v>10</v>
      </c>
      <c r="K11" s="66">
        <f t="shared" ref="K11:K17" si="3">+D11*I11*J11</f>
        <v>0</v>
      </c>
    </row>
    <row r="12" spans="1:11" ht="22.5" customHeight="1" x14ac:dyDescent="0.2">
      <c r="A12" s="179"/>
      <c r="B12" s="36" t="s">
        <v>13</v>
      </c>
      <c r="C12" s="35" t="s">
        <v>158</v>
      </c>
      <c r="D12" s="36">
        <f>+'Servicios CLASE'!E50</f>
        <v>18</v>
      </c>
      <c r="E12" s="38">
        <f>+'PROFORMA 5 ANEXO 1'!E12</f>
        <v>0</v>
      </c>
      <c r="F12" s="37">
        <f>+E12*8/100+E12</f>
        <v>0</v>
      </c>
      <c r="G12" s="37">
        <f t="shared" si="0"/>
        <v>0</v>
      </c>
      <c r="H12" s="37">
        <f t="shared" si="1"/>
        <v>0</v>
      </c>
      <c r="I12" s="38">
        <f t="shared" si="2"/>
        <v>0</v>
      </c>
      <c r="J12" s="39">
        <v>10</v>
      </c>
      <c r="K12" s="66">
        <f t="shared" si="3"/>
        <v>0</v>
      </c>
    </row>
    <row r="13" spans="1:11" ht="32.25" customHeight="1" x14ac:dyDescent="0.2">
      <c r="A13" s="179"/>
      <c r="B13" s="36" t="s">
        <v>14</v>
      </c>
      <c r="C13" s="35" t="s">
        <v>156</v>
      </c>
      <c r="D13" s="36">
        <f>+'Servicios CLASE'!F50</f>
        <v>2</v>
      </c>
      <c r="E13" s="38">
        <f>+'PROFORMA 5 ANEXO 1'!E13</f>
        <v>0</v>
      </c>
      <c r="F13" s="37">
        <f>+E13*8/100+E13</f>
        <v>0</v>
      </c>
      <c r="G13" s="37">
        <f t="shared" si="0"/>
        <v>0</v>
      </c>
      <c r="H13" s="37">
        <f t="shared" si="1"/>
        <v>0</v>
      </c>
      <c r="I13" s="38">
        <f t="shared" si="2"/>
        <v>0</v>
      </c>
      <c r="J13" s="39">
        <v>10</v>
      </c>
      <c r="K13" s="66">
        <f t="shared" si="3"/>
        <v>0</v>
      </c>
    </row>
    <row r="14" spans="1:11" x14ac:dyDescent="0.2">
      <c r="A14" s="179"/>
      <c r="B14" s="36" t="s">
        <v>15</v>
      </c>
      <c r="C14" s="35" t="s">
        <v>98</v>
      </c>
      <c r="D14" s="36">
        <f>+'Servicios CLASE'!G50</f>
        <v>2</v>
      </c>
      <c r="E14" s="38">
        <f>+'PROFORMA 5 ANEXO 1'!E14</f>
        <v>0</v>
      </c>
      <c r="F14" s="37">
        <f>+E14*11/100+E14</f>
        <v>0</v>
      </c>
      <c r="G14" s="37">
        <f t="shared" si="0"/>
        <v>0</v>
      </c>
      <c r="H14" s="37">
        <f t="shared" si="1"/>
        <v>0</v>
      </c>
      <c r="I14" s="38">
        <f t="shared" si="2"/>
        <v>0</v>
      </c>
      <c r="J14" s="39">
        <v>10</v>
      </c>
      <c r="K14" s="66">
        <f t="shared" si="3"/>
        <v>0</v>
      </c>
    </row>
    <row r="15" spans="1:11" ht="44.25" customHeight="1" x14ac:dyDescent="0.2">
      <c r="A15" s="179"/>
      <c r="B15" s="36" t="s">
        <v>16</v>
      </c>
      <c r="C15" s="35" t="s">
        <v>157</v>
      </c>
      <c r="D15" s="36">
        <f>+'Servicios CLASE'!H50</f>
        <v>3</v>
      </c>
      <c r="E15" s="38">
        <f>+'PROFORMA 5 ANEXO 1'!E15</f>
        <v>0</v>
      </c>
      <c r="F15" s="37">
        <f>+E15*8/100+E15</f>
        <v>0</v>
      </c>
      <c r="G15" s="37">
        <f t="shared" si="0"/>
        <v>0</v>
      </c>
      <c r="H15" s="37">
        <f t="shared" si="1"/>
        <v>0</v>
      </c>
      <c r="I15" s="38">
        <f t="shared" si="2"/>
        <v>0</v>
      </c>
      <c r="J15" s="39">
        <v>10</v>
      </c>
      <c r="K15" s="66">
        <f t="shared" si="3"/>
        <v>0</v>
      </c>
    </row>
    <row r="16" spans="1:11" ht="42" x14ac:dyDescent="0.2">
      <c r="A16" s="179"/>
      <c r="B16" s="36" t="s">
        <v>18</v>
      </c>
      <c r="C16" s="35" t="s">
        <v>184</v>
      </c>
      <c r="D16" s="36">
        <f>+'Servicios CLASE'!I50</f>
        <v>1</v>
      </c>
      <c r="E16" s="38">
        <f>+'PROFORMA 5 ANEXO 1'!E16</f>
        <v>0</v>
      </c>
      <c r="F16" s="37">
        <f>+E16*10/100+E16</f>
        <v>0</v>
      </c>
      <c r="G16" s="37">
        <f t="shared" si="0"/>
        <v>0</v>
      </c>
      <c r="H16" s="37">
        <f t="shared" si="1"/>
        <v>0</v>
      </c>
      <c r="I16" s="38">
        <f t="shared" si="2"/>
        <v>0</v>
      </c>
      <c r="J16" s="39">
        <v>10</v>
      </c>
      <c r="K16" s="66">
        <f t="shared" si="3"/>
        <v>0</v>
      </c>
    </row>
    <row r="17" spans="1:11" ht="42" x14ac:dyDescent="0.2">
      <c r="A17" s="179"/>
      <c r="B17" s="36" t="s">
        <v>19</v>
      </c>
      <c r="C17" s="35" t="s">
        <v>159</v>
      </c>
      <c r="D17" s="36">
        <f>+'Servicios CLASE'!J50</f>
        <v>1</v>
      </c>
      <c r="E17" s="38">
        <f>+'PROFORMA 5 ANEXO 1'!E17</f>
        <v>0</v>
      </c>
      <c r="F17" s="37">
        <f>+E17*8/100+E17</f>
        <v>0</v>
      </c>
      <c r="G17" s="37">
        <f t="shared" si="0"/>
        <v>0</v>
      </c>
      <c r="H17" s="37">
        <f t="shared" si="1"/>
        <v>0</v>
      </c>
      <c r="I17" s="38">
        <f t="shared" si="2"/>
        <v>0</v>
      </c>
      <c r="J17" s="39">
        <v>10</v>
      </c>
      <c r="K17" s="66">
        <f t="shared" si="3"/>
        <v>0</v>
      </c>
    </row>
    <row r="18" spans="1:11" ht="39" customHeight="1" x14ac:dyDescent="0.2">
      <c r="A18" s="179"/>
      <c r="B18" s="36"/>
      <c r="C18" s="40" t="s">
        <v>173</v>
      </c>
      <c r="D18" s="61">
        <f>SUM(D10:D17)</f>
        <v>47</v>
      </c>
      <c r="E18" s="38"/>
      <c r="F18" s="41"/>
      <c r="G18" s="41"/>
      <c r="H18" s="41"/>
      <c r="I18" s="38"/>
      <c r="J18" s="39"/>
      <c r="K18" s="66"/>
    </row>
    <row r="19" spans="1:11" ht="35.25" customHeight="1" x14ac:dyDescent="0.2">
      <c r="A19" s="179"/>
      <c r="B19" s="36" t="s">
        <v>46</v>
      </c>
      <c r="C19" s="43" t="s">
        <v>176</v>
      </c>
      <c r="D19" s="36">
        <f>+'Servicios CLASE'!K50</f>
        <v>1</v>
      </c>
      <c r="E19" s="38">
        <f>+'PROFORMA 5 ANEXO 2'!E9</f>
        <v>0</v>
      </c>
      <c r="F19" s="37" t="s">
        <v>188</v>
      </c>
      <c r="G19" s="38">
        <f>+E19*10/100</f>
        <v>0</v>
      </c>
      <c r="H19" s="38">
        <f>+G19*0.19</f>
        <v>0</v>
      </c>
      <c r="I19" s="38">
        <f>+E19+H19</f>
        <v>0</v>
      </c>
      <c r="J19" s="39">
        <v>10</v>
      </c>
      <c r="K19" s="66">
        <f>+I19*J19</f>
        <v>0</v>
      </c>
    </row>
    <row r="20" spans="1:11" ht="50.25" customHeight="1" x14ac:dyDescent="0.2">
      <c r="A20" s="179"/>
      <c r="B20" s="36" t="s">
        <v>62</v>
      </c>
      <c r="C20" s="44" t="s">
        <v>63</v>
      </c>
      <c r="D20" s="36">
        <v>1</v>
      </c>
      <c r="E20" s="38">
        <f>+'PROFORMA 5 ANEXO 2'!E10</f>
        <v>0</v>
      </c>
      <c r="F20" s="38" t="s">
        <v>188</v>
      </c>
      <c r="G20" s="38">
        <f>+E20*10/100</f>
        <v>0</v>
      </c>
      <c r="H20" s="38">
        <f>+G20*0.19</f>
        <v>0</v>
      </c>
      <c r="I20" s="38">
        <f>+E20+H20</f>
        <v>0</v>
      </c>
      <c r="J20" s="39">
        <v>10</v>
      </c>
      <c r="K20" s="66">
        <f>+I20*J20</f>
        <v>0</v>
      </c>
    </row>
    <row r="21" spans="1:11" s="50" customFormat="1" ht="38.25" customHeight="1" x14ac:dyDescent="0.2">
      <c r="A21" s="179"/>
      <c r="B21" s="69"/>
      <c r="C21" s="69"/>
      <c r="D21" s="69"/>
      <c r="E21" s="182" t="s">
        <v>77</v>
      </c>
      <c r="F21" s="182"/>
      <c r="G21" s="182"/>
      <c r="H21" s="182"/>
      <c r="I21" s="182"/>
      <c r="J21" s="182"/>
      <c r="K21" s="72">
        <f>SUM(K10:K20)</f>
        <v>0</v>
      </c>
    </row>
    <row r="22" spans="1:11" x14ac:dyDescent="0.2">
      <c r="G22" s="33"/>
    </row>
    <row r="23" spans="1:11" ht="68.25" customHeight="1" x14ac:dyDescent="0.2">
      <c r="A23" s="254">
        <v>2</v>
      </c>
      <c r="B23" s="180" t="s">
        <v>89</v>
      </c>
      <c r="C23" s="180"/>
      <c r="D23" s="180"/>
      <c r="E23" s="187" t="s">
        <v>183</v>
      </c>
      <c r="F23" s="188"/>
      <c r="G23" s="188"/>
      <c r="H23" s="188"/>
      <c r="I23" s="188"/>
      <c r="J23" s="188"/>
      <c r="K23" s="188"/>
    </row>
    <row r="24" spans="1:11" ht="173.25" customHeight="1" x14ac:dyDescent="0.2">
      <c r="A24" s="254"/>
      <c r="B24" s="63" t="s">
        <v>1</v>
      </c>
      <c r="C24" s="40" t="s">
        <v>2</v>
      </c>
      <c r="D24" s="63" t="s">
        <v>3</v>
      </c>
      <c r="E24" s="146" t="s">
        <v>182</v>
      </c>
      <c r="F24" s="64" t="s">
        <v>5</v>
      </c>
      <c r="G24" s="64" t="s">
        <v>162</v>
      </c>
      <c r="H24" s="64" t="s">
        <v>163</v>
      </c>
      <c r="I24" s="64" t="s">
        <v>8</v>
      </c>
      <c r="J24" s="64" t="s">
        <v>9</v>
      </c>
      <c r="K24" s="65" t="s">
        <v>164</v>
      </c>
    </row>
    <row r="25" spans="1:11" x14ac:dyDescent="0.2">
      <c r="A25" s="254"/>
      <c r="B25" s="36" t="s">
        <v>11</v>
      </c>
      <c r="C25" s="35" t="s">
        <v>96</v>
      </c>
      <c r="D25" s="70">
        <f>+'Servicios NO clase '!C52</f>
        <v>19</v>
      </c>
      <c r="E25" s="38">
        <f>+'PROFORMA 5 ANEXO 1'!E23</f>
        <v>0</v>
      </c>
      <c r="F25" s="37">
        <f>+E25*10/100+E25</f>
        <v>0</v>
      </c>
      <c r="G25" s="37">
        <f>+F25*10%</f>
        <v>0</v>
      </c>
      <c r="H25" s="37">
        <f>+G25*0.19</f>
        <v>0</v>
      </c>
      <c r="I25" s="38">
        <f>F25+H25</f>
        <v>0</v>
      </c>
      <c r="J25" s="39">
        <v>1.5</v>
      </c>
      <c r="K25" s="66">
        <f t="shared" ref="K25:K32" si="4">+D25*I25*J25</f>
        <v>0</v>
      </c>
    </row>
    <row r="26" spans="1:11" x14ac:dyDescent="0.2">
      <c r="A26" s="254"/>
      <c r="B26" s="36" t="s">
        <v>12</v>
      </c>
      <c r="C26" s="35" t="s">
        <v>97</v>
      </c>
      <c r="D26" s="70">
        <f>+'Servicios NO clase '!C53</f>
        <v>1</v>
      </c>
      <c r="E26" s="38">
        <f>+'PROFORMA 5 ANEXO 1'!E24</f>
        <v>0</v>
      </c>
      <c r="F26" s="37">
        <f>+E26*8/100+E26</f>
        <v>0</v>
      </c>
      <c r="G26" s="37">
        <f t="shared" ref="G26:G32" si="5">+F26*10%</f>
        <v>0</v>
      </c>
      <c r="H26" s="37">
        <f t="shared" ref="H26:H32" si="6">+G26*0.19</f>
        <v>0</v>
      </c>
      <c r="I26" s="38">
        <f t="shared" ref="I26:I32" si="7">F26+H26</f>
        <v>0</v>
      </c>
      <c r="J26" s="39">
        <v>1.5</v>
      </c>
      <c r="K26" s="66">
        <f t="shared" si="4"/>
        <v>0</v>
      </c>
    </row>
    <row r="27" spans="1:11" x14ac:dyDescent="0.2">
      <c r="A27" s="254"/>
      <c r="B27" s="36" t="s">
        <v>13</v>
      </c>
      <c r="C27" s="35" t="s">
        <v>158</v>
      </c>
      <c r="D27" s="70">
        <f>+'Servicios NO clase '!C54</f>
        <v>10</v>
      </c>
      <c r="E27" s="38">
        <f>+'PROFORMA 5 ANEXO 1'!E25</f>
        <v>0</v>
      </c>
      <c r="F27" s="37">
        <f>+E27*8/100+E27</f>
        <v>0</v>
      </c>
      <c r="G27" s="37">
        <f t="shared" si="5"/>
        <v>0</v>
      </c>
      <c r="H27" s="37">
        <f t="shared" si="6"/>
        <v>0</v>
      </c>
      <c r="I27" s="38">
        <f t="shared" si="7"/>
        <v>0</v>
      </c>
      <c r="J27" s="39">
        <v>1.5</v>
      </c>
      <c r="K27" s="66">
        <f t="shared" si="4"/>
        <v>0</v>
      </c>
    </row>
    <row r="28" spans="1:11" x14ac:dyDescent="0.2">
      <c r="A28" s="254"/>
      <c r="B28" s="36" t="s">
        <v>14</v>
      </c>
      <c r="C28" s="35" t="s">
        <v>156</v>
      </c>
      <c r="D28" s="70">
        <f>+'Servicios NO clase '!C55</f>
        <v>0</v>
      </c>
      <c r="E28" s="38">
        <f>+'PROFORMA 5 ANEXO 1'!E26</f>
        <v>0</v>
      </c>
      <c r="F28" s="37">
        <f>+E28*8/100+E28</f>
        <v>0</v>
      </c>
      <c r="G28" s="37">
        <f t="shared" si="5"/>
        <v>0</v>
      </c>
      <c r="H28" s="37">
        <f t="shared" si="6"/>
        <v>0</v>
      </c>
      <c r="I28" s="38">
        <f t="shared" si="7"/>
        <v>0</v>
      </c>
      <c r="J28" s="39"/>
      <c r="K28" s="66">
        <f t="shared" si="4"/>
        <v>0</v>
      </c>
    </row>
    <row r="29" spans="1:11" x14ac:dyDescent="0.2">
      <c r="A29" s="254"/>
      <c r="B29" s="36" t="s">
        <v>15</v>
      </c>
      <c r="C29" s="35" t="s">
        <v>98</v>
      </c>
      <c r="D29" s="70">
        <f>+'Servicios NO clase '!C56</f>
        <v>2</v>
      </c>
      <c r="E29" s="38">
        <f>+'PROFORMA 5 ANEXO 1'!E27</f>
        <v>0</v>
      </c>
      <c r="F29" s="37">
        <f>+E29*11/100+E29</f>
        <v>0</v>
      </c>
      <c r="G29" s="37">
        <f t="shared" si="5"/>
        <v>0</v>
      </c>
      <c r="H29" s="37">
        <f t="shared" si="6"/>
        <v>0</v>
      </c>
      <c r="I29" s="38">
        <f t="shared" si="7"/>
        <v>0</v>
      </c>
      <c r="J29" s="39">
        <v>1.5</v>
      </c>
      <c r="K29" s="66">
        <f t="shared" si="4"/>
        <v>0</v>
      </c>
    </row>
    <row r="30" spans="1:11" ht="42" x14ac:dyDescent="0.2">
      <c r="A30" s="254"/>
      <c r="B30" s="36" t="s">
        <v>16</v>
      </c>
      <c r="C30" s="35" t="s">
        <v>157</v>
      </c>
      <c r="D30" s="70">
        <f>+'Servicios NO clase '!C57</f>
        <v>1</v>
      </c>
      <c r="E30" s="38">
        <f>+'PROFORMA 5 ANEXO 1'!E28</f>
        <v>0</v>
      </c>
      <c r="F30" s="37">
        <f>+E30*8/100+E30</f>
        <v>0</v>
      </c>
      <c r="G30" s="37">
        <f t="shared" si="5"/>
        <v>0</v>
      </c>
      <c r="H30" s="37">
        <f t="shared" si="6"/>
        <v>0</v>
      </c>
      <c r="I30" s="38">
        <f t="shared" si="7"/>
        <v>0</v>
      </c>
      <c r="J30" s="39">
        <v>1.5</v>
      </c>
      <c r="K30" s="66">
        <f>+D30*I30*J30</f>
        <v>0</v>
      </c>
    </row>
    <row r="31" spans="1:11" ht="42" x14ac:dyDescent="0.2">
      <c r="A31" s="254"/>
      <c r="B31" s="36" t="s">
        <v>18</v>
      </c>
      <c r="C31" s="35" t="s">
        <v>184</v>
      </c>
      <c r="D31" s="70">
        <f>+'Servicios NO clase '!C58</f>
        <v>0</v>
      </c>
      <c r="E31" s="38">
        <f>+'PROFORMA 5 ANEXO 1'!E29</f>
        <v>0</v>
      </c>
      <c r="F31" s="37">
        <f>+E31*10/100+E31</f>
        <v>0</v>
      </c>
      <c r="G31" s="37">
        <f t="shared" si="5"/>
        <v>0</v>
      </c>
      <c r="H31" s="37">
        <f t="shared" si="6"/>
        <v>0</v>
      </c>
      <c r="I31" s="38">
        <f t="shared" si="7"/>
        <v>0</v>
      </c>
      <c r="J31" s="39"/>
      <c r="K31" s="66">
        <f t="shared" si="4"/>
        <v>0</v>
      </c>
    </row>
    <row r="32" spans="1:11" ht="42" x14ac:dyDescent="0.2">
      <c r="A32" s="254"/>
      <c r="B32" s="36" t="s">
        <v>19</v>
      </c>
      <c r="C32" s="35" t="s">
        <v>159</v>
      </c>
      <c r="D32" s="70">
        <f>+'Servicios NO clase '!C59</f>
        <v>1</v>
      </c>
      <c r="E32" s="38">
        <f>+'PROFORMA 5 ANEXO 1'!E30</f>
        <v>0</v>
      </c>
      <c r="F32" s="37">
        <f>+E32*8/100+E32</f>
        <v>0</v>
      </c>
      <c r="G32" s="37">
        <f t="shared" si="5"/>
        <v>0</v>
      </c>
      <c r="H32" s="37">
        <f t="shared" si="6"/>
        <v>0</v>
      </c>
      <c r="I32" s="38">
        <f t="shared" si="7"/>
        <v>0</v>
      </c>
      <c r="J32" s="39">
        <v>1.5</v>
      </c>
      <c r="K32" s="66">
        <f t="shared" si="4"/>
        <v>0</v>
      </c>
    </row>
    <row r="33" spans="1:11" ht="30" customHeight="1" x14ac:dyDescent="0.2">
      <c r="A33" s="254"/>
      <c r="B33" s="36"/>
      <c r="C33" s="40" t="str">
        <f>+C18</f>
        <v xml:space="preserve">TOTAL SERVICIOS REGULADOS </v>
      </c>
      <c r="D33" s="61">
        <f>SUM(D25:D32)</f>
        <v>34</v>
      </c>
      <c r="E33" s="38"/>
      <c r="F33" s="41"/>
      <c r="G33" s="41"/>
      <c r="H33" s="41"/>
      <c r="I33" s="38"/>
      <c r="J33" s="39"/>
      <c r="K33" s="66"/>
    </row>
    <row r="34" spans="1:11" ht="38.25" customHeight="1" x14ac:dyDescent="0.2">
      <c r="A34" s="254"/>
      <c r="B34" s="36" t="s">
        <v>46</v>
      </c>
      <c r="C34" s="43" t="s">
        <v>175</v>
      </c>
      <c r="D34" s="36">
        <f>+'Servicios NO clase '!K50</f>
        <v>1</v>
      </c>
      <c r="E34" s="38">
        <f>+E19</f>
        <v>0</v>
      </c>
      <c r="F34" s="37" t="s">
        <v>188</v>
      </c>
      <c r="G34" s="38">
        <f>+E34*10/100</f>
        <v>0</v>
      </c>
      <c r="H34" s="38">
        <f>+G34*0.19</f>
        <v>0</v>
      </c>
      <c r="I34" s="38">
        <f>+E34+H34</f>
        <v>0</v>
      </c>
      <c r="J34" s="39">
        <v>1.5</v>
      </c>
      <c r="K34" s="66">
        <f>+I34*J34</f>
        <v>0</v>
      </c>
    </row>
    <row r="35" spans="1:11" ht="78.75" customHeight="1" x14ac:dyDescent="0.2">
      <c r="A35" s="254"/>
      <c r="B35" s="36" t="s">
        <v>62</v>
      </c>
      <c r="C35" s="44" t="s">
        <v>63</v>
      </c>
      <c r="D35" s="36">
        <v>1</v>
      </c>
      <c r="E35" s="38">
        <f>+E20</f>
        <v>0</v>
      </c>
      <c r="F35" s="38" t="s">
        <v>188</v>
      </c>
      <c r="G35" s="38">
        <f>+E35*10/100</f>
        <v>0</v>
      </c>
      <c r="H35" s="38">
        <f>+G35*0.19</f>
        <v>0</v>
      </c>
      <c r="I35" s="38">
        <f>+E35+H35</f>
        <v>0</v>
      </c>
      <c r="J35" s="39">
        <v>1.5</v>
      </c>
      <c r="K35" s="66">
        <f>+I35*J35</f>
        <v>0</v>
      </c>
    </row>
    <row r="36" spans="1:11" s="50" customFormat="1" ht="38.25" customHeight="1" x14ac:dyDescent="0.2">
      <c r="A36" s="254"/>
      <c r="B36" s="69"/>
      <c r="C36" s="69"/>
      <c r="D36" s="69"/>
      <c r="E36" s="182" t="s">
        <v>77</v>
      </c>
      <c r="F36" s="182"/>
      <c r="G36" s="182"/>
      <c r="H36" s="182"/>
      <c r="I36" s="182"/>
      <c r="J36" s="182"/>
      <c r="K36" s="72">
        <f>SUM(K25:K35)</f>
        <v>0</v>
      </c>
    </row>
    <row r="37" spans="1:11" x14ac:dyDescent="0.2">
      <c r="E37" s="48"/>
      <c r="F37" s="48"/>
      <c r="G37" s="49"/>
    </row>
    <row r="38" spans="1:11" x14ac:dyDescent="0.2">
      <c r="B38" s="178"/>
      <c r="C38" s="178"/>
      <c r="D38" s="178"/>
      <c r="E38" s="48"/>
      <c r="F38" s="48"/>
      <c r="G38" s="49"/>
    </row>
    <row r="39" spans="1:11" ht="60" customHeight="1" x14ac:dyDescent="0.2">
      <c r="A39" s="179">
        <v>3</v>
      </c>
      <c r="B39" s="180" t="s">
        <v>75</v>
      </c>
      <c r="C39" s="180"/>
      <c r="D39" s="180"/>
      <c r="E39" s="189" t="s">
        <v>87</v>
      </c>
      <c r="F39" s="190"/>
      <c r="G39" s="190"/>
      <c r="H39" s="190"/>
      <c r="I39" s="190"/>
      <c r="J39" s="190"/>
      <c r="K39" s="190"/>
    </row>
    <row r="40" spans="1:11" ht="159" customHeight="1" x14ac:dyDescent="0.2">
      <c r="A40" s="179"/>
      <c r="B40" s="63" t="s">
        <v>1</v>
      </c>
      <c r="C40" s="40" t="s">
        <v>2</v>
      </c>
      <c r="D40" s="63" t="s">
        <v>3</v>
      </c>
      <c r="E40" s="146" t="s">
        <v>181</v>
      </c>
      <c r="F40" s="64" t="s">
        <v>5</v>
      </c>
      <c r="G40" s="64" t="s">
        <v>162</v>
      </c>
      <c r="H40" s="64" t="s">
        <v>163</v>
      </c>
      <c r="I40" s="64" t="s">
        <v>8</v>
      </c>
      <c r="J40" s="64" t="s">
        <v>9</v>
      </c>
      <c r="K40" s="65" t="s">
        <v>164</v>
      </c>
    </row>
    <row r="41" spans="1:11" x14ac:dyDescent="0.2">
      <c r="A41" s="179"/>
      <c r="B41" s="36" t="s">
        <v>11</v>
      </c>
      <c r="C41" s="35" t="s">
        <v>96</v>
      </c>
      <c r="D41" s="36">
        <f>+D10</f>
        <v>19</v>
      </c>
      <c r="E41" s="38">
        <f>+'PROFORMA 5 ANEXO 1'!E37</f>
        <v>0</v>
      </c>
      <c r="F41" s="37">
        <f>+E41*10/100+E41</f>
        <v>0</v>
      </c>
      <c r="G41" s="37">
        <f>+F41*10%</f>
        <v>0</v>
      </c>
      <c r="H41" s="37">
        <f>+G41*0.19</f>
        <v>0</v>
      </c>
      <c r="I41" s="38">
        <f>F41+H41</f>
        <v>0</v>
      </c>
      <c r="J41" s="39">
        <v>9.5</v>
      </c>
      <c r="K41" s="66">
        <f t="shared" ref="K41:K48" si="8">+D41*I41*J41</f>
        <v>0</v>
      </c>
    </row>
    <row r="42" spans="1:11" x14ac:dyDescent="0.2">
      <c r="A42" s="179"/>
      <c r="B42" s="36" t="s">
        <v>12</v>
      </c>
      <c r="C42" s="35" t="s">
        <v>97</v>
      </c>
      <c r="D42" s="36">
        <f t="shared" ref="D42:D51" si="9">+D11</f>
        <v>1</v>
      </c>
      <c r="E42" s="38">
        <f>+'PROFORMA 5 ANEXO 1'!E38</f>
        <v>0</v>
      </c>
      <c r="F42" s="37">
        <f>+E42*8/100+E42</f>
        <v>0</v>
      </c>
      <c r="G42" s="37">
        <f t="shared" ref="G42:G48" si="10">+F42*10%</f>
        <v>0</v>
      </c>
      <c r="H42" s="37">
        <f t="shared" ref="H42:H48" si="11">+G42*0.19</f>
        <v>0</v>
      </c>
      <c r="I42" s="38">
        <f t="shared" ref="I42:I48" si="12">F42+H42</f>
        <v>0</v>
      </c>
      <c r="J42" s="39">
        <v>9.5</v>
      </c>
      <c r="K42" s="66">
        <f t="shared" si="8"/>
        <v>0</v>
      </c>
    </row>
    <row r="43" spans="1:11" ht="29.25" customHeight="1" x14ac:dyDescent="0.2">
      <c r="A43" s="179"/>
      <c r="B43" s="36" t="s">
        <v>13</v>
      </c>
      <c r="C43" s="35" t="s">
        <v>158</v>
      </c>
      <c r="D43" s="36">
        <f t="shared" si="9"/>
        <v>18</v>
      </c>
      <c r="E43" s="38">
        <f>+'PROFORMA 5 ANEXO 1'!E39</f>
        <v>0</v>
      </c>
      <c r="F43" s="37">
        <f>+E43*8/100+E43</f>
        <v>0</v>
      </c>
      <c r="G43" s="37">
        <f t="shared" si="10"/>
        <v>0</v>
      </c>
      <c r="H43" s="37">
        <f t="shared" si="11"/>
        <v>0</v>
      </c>
      <c r="I43" s="38">
        <f t="shared" si="12"/>
        <v>0</v>
      </c>
      <c r="J43" s="39">
        <v>9.5</v>
      </c>
      <c r="K43" s="66">
        <f t="shared" si="8"/>
        <v>0</v>
      </c>
    </row>
    <row r="44" spans="1:11" ht="28.5" customHeight="1" x14ac:dyDescent="0.2">
      <c r="A44" s="179"/>
      <c r="B44" s="36" t="s">
        <v>14</v>
      </c>
      <c r="C44" s="35" t="s">
        <v>156</v>
      </c>
      <c r="D44" s="36">
        <f t="shared" si="9"/>
        <v>2</v>
      </c>
      <c r="E44" s="38">
        <f>+'PROFORMA 5 ANEXO 1'!E40</f>
        <v>0</v>
      </c>
      <c r="F44" s="37">
        <f>+E44*8/100+E44</f>
        <v>0</v>
      </c>
      <c r="G44" s="37">
        <f t="shared" si="10"/>
        <v>0</v>
      </c>
      <c r="H44" s="37">
        <f t="shared" si="11"/>
        <v>0</v>
      </c>
      <c r="I44" s="38">
        <f t="shared" si="12"/>
        <v>0</v>
      </c>
      <c r="J44" s="39">
        <v>9.5</v>
      </c>
      <c r="K44" s="66">
        <f t="shared" si="8"/>
        <v>0</v>
      </c>
    </row>
    <row r="45" spans="1:11" x14ac:dyDescent="0.2">
      <c r="A45" s="179"/>
      <c r="B45" s="36" t="s">
        <v>15</v>
      </c>
      <c r="C45" s="35" t="s">
        <v>98</v>
      </c>
      <c r="D45" s="36">
        <f t="shared" si="9"/>
        <v>2</v>
      </c>
      <c r="E45" s="38">
        <f>+'PROFORMA 5 ANEXO 1'!E41</f>
        <v>0</v>
      </c>
      <c r="F45" s="37">
        <f>+E45*11/100+E45</f>
        <v>0</v>
      </c>
      <c r="G45" s="37">
        <f t="shared" si="10"/>
        <v>0</v>
      </c>
      <c r="H45" s="37">
        <f t="shared" si="11"/>
        <v>0</v>
      </c>
      <c r="I45" s="38">
        <f t="shared" si="12"/>
        <v>0</v>
      </c>
      <c r="J45" s="39">
        <v>9.5</v>
      </c>
      <c r="K45" s="66">
        <f t="shared" si="8"/>
        <v>0</v>
      </c>
    </row>
    <row r="46" spans="1:11" ht="42" x14ac:dyDescent="0.2">
      <c r="A46" s="179"/>
      <c r="B46" s="36" t="s">
        <v>16</v>
      </c>
      <c r="C46" s="35" t="s">
        <v>157</v>
      </c>
      <c r="D46" s="36">
        <f t="shared" si="9"/>
        <v>3</v>
      </c>
      <c r="E46" s="38">
        <f>+'PROFORMA 5 ANEXO 1'!E42</f>
        <v>0</v>
      </c>
      <c r="F46" s="37">
        <f>+E46*8/100+E46</f>
        <v>0</v>
      </c>
      <c r="G46" s="37">
        <f t="shared" si="10"/>
        <v>0</v>
      </c>
      <c r="H46" s="37">
        <f t="shared" si="11"/>
        <v>0</v>
      </c>
      <c r="I46" s="38">
        <f t="shared" si="12"/>
        <v>0</v>
      </c>
      <c r="J46" s="39">
        <v>9.5</v>
      </c>
      <c r="K46" s="66">
        <f t="shared" si="8"/>
        <v>0</v>
      </c>
    </row>
    <row r="47" spans="1:11" ht="42" x14ac:dyDescent="0.2">
      <c r="A47" s="179"/>
      <c r="B47" s="36" t="s">
        <v>18</v>
      </c>
      <c r="C47" s="35" t="s">
        <v>184</v>
      </c>
      <c r="D47" s="36">
        <f t="shared" si="9"/>
        <v>1</v>
      </c>
      <c r="E47" s="38">
        <f>+'PROFORMA 5 ANEXO 1'!E43</f>
        <v>0</v>
      </c>
      <c r="F47" s="37">
        <f>+E47*10/100+E47</f>
        <v>0</v>
      </c>
      <c r="G47" s="37">
        <f t="shared" si="10"/>
        <v>0</v>
      </c>
      <c r="H47" s="37">
        <f t="shared" si="11"/>
        <v>0</v>
      </c>
      <c r="I47" s="38">
        <f t="shared" si="12"/>
        <v>0</v>
      </c>
      <c r="J47" s="39">
        <v>9.5</v>
      </c>
      <c r="K47" s="66">
        <f t="shared" si="8"/>
        <v>0</v>
      </c>
    </row>
    <row r="48" spans="1:11" ht="42" x14ac:dyDescent="0.2">
      <c r="A48" s="179"/>
      <c r="B48" s="36" t="s">
        <v>19</v>
      </c>
      <c r="C48" s="35" t="s">
        <v>159</v>
      </c>
      <c r="D48" s="36">
        <f t="shared" si="9"/>
        <v>1</v>
      </c>
      <c r="E48" s="38">
        <f>+'PROFORMA 5 ANEXO 1'!E44</f>
        <v>0</v>
      </c>
      <c r="F48" s="37">
        <f>+E48*8/100+E48</f>
        <v>0</v>
      </c>
      <c r="G48" s="37">
        <f t="shared" si="10"/>
        <v>0</v>
      </c>
      <c r="H48" s="37">
        <f t="shared" si="11"/>
        <v>0</v>
      </c>
      <c r="I48" s="38">
        <f t="shared" si="12"/>
        <v>0</v>
      </c>
      <c r="J48" s="39">
        <v>9.5</v>
      </c>
      <c r="K48" s="66">
        <f t="shared" si="8"/>
        <v>0</v>
      </c>
    </row>
    <row r="49" spans="1:13" ht="22" x14ac:dyDescent="0.2">
      <c r="A49" s="179"/>
      <c r="B49" s="36"/>
      <c r="C49" s="40" t="str">
        <f>+C33</f>
        <v xml:space="preserve">TOTAL SERVICIOS REGULADOS </v>
      </c>
      <c r="D49" s="61">
        <f>SUM(D41:D48)</f>
        <v>47</v>
      </c>
      <c r="E49" s="38">
        <f t="shared" ref="E49" si="13">+E33*1.1</f>
        <v>0</v>
      </c>
      <c r="F49" s="41"/>
      <c r="G49" s="41"/>
      <c r="H49" s="41"/>
      <c r="I49" s="38"/>
      <c r="J49" s="39"/>
      <c r="K49" s="66"/>
    </row>
    <row r="50" spans="1:13" ht="28.5" customHeight="1" x14ac:dyDescent="0.2">
      <c r="A50" s="179"/>
      <c r="B50" s="36" t="s">
        <v>46</v>
      </c>
      <c r="C50" s="43" t="s">
        <v>175</v>
      </c>
      <c r="D50" s="36">
        <f t="shared" si="9"/>
        <v>1</v>
      </c>
      <c r="E50" s="38">
        <f>+'PROFORMA 5 ANEXO 2'!E14</f>
        <v>0</v>
      </c>
      <c r="F50" s="37" t="s">
        <v>188</v>
      </c>
      <c r="G50" s="38">
        <f>+E50*10/100</f>
        <v>0</v>
      </c>
      <c r="H50" s="38">
        <f>+G50*0.19</f>
        <v>0</v>
      </c>
      <c r="I50" s="38">
        <f>+E50+H50</f>
        <v>0</v>
      </c>
      <c r="J50" s="39">
        <v>9.5</v>
      </c>
      <c r="K50" s="66">
        <f>+I50*J50</f>
        <v>0</v>
      </c>
    </row>
    <row r="51" spans="1:13" ht="51.75" customHeight="1" x14ac:dyDescent="0.2">
      <c r="A51" s="179"/>
      <c r="B51" s="36" t="s">
        <v>62</v>
      </c>
      <c r="C51" s="44" t="s">
        <v>63</v>
      </c>
      <c r="D51" s="36">
        <f t="shared" si="9"/>
        <v>1</v>
      </c>
      <c r="E51" s="38">
        <f>+'PROFORMA 5 ANEXO 2'!E15</f>
        <v>0</v>
      </c>
      <c r="F51" s="38" t="s">
        <v>188</v>
      </c>
      <c r="G51" s="38">
        <f>+E51*10/100</f>
        <v>0</v>
      </c>
      <c r="H51" s="38">
        <f>+G51*0.19</f>
        <v>0</v>
      </c>
      <c r="I51" s="38">
        <f>+E51+H51</f>
        <v>0</v>
      </c>
      <c r="J51" s="39">
        <v>9.5</v>
      </c>
      <c r="K51" s="66">
        <f>+I51*J51</f>
        <v>0</v>
      </c>
    </row>
    <row r="52" spans="1:13" s="50" customFormat="1" ht="38.25" customHeight="1" x14ac:dyDescent="0.2">
      <c r="A52" s="179"/>
      <c r="B52" s="69"/>
      <c r="C52" s="69"/>
      <c r="D52" s="69"/>
      <c r="E52" s="182" t="s">
        <v>77</v>
      </c>
      <c r="F52" s="182"/>
      <c r="G52" s="182"/>
      <c r="H52" s="182"/>
      <c r="I52" s="182"/>
      <c r="J52" s="182"/>
      <c r="K52" s="73">
        <f>SUM(K41:K51)</f>
        <v>0</v>
      </c>
    </row>
    <row r="53" spans="1:13" x14ac:dyDescent="0.2">
      <c r="E53" s="48"/>
      <c r="F53" s="48"/>
      <c r="G53" s="49"/>
    </row>
    <row r="54" spans="1:13" ht="63.75" customHeight="1" x14ac:dyDescent="0.2">
      <c r="A54" s="254">
        <v>4</v>
      </c>
      <c r="B54" s="180" t="s">
        <v>90</v>
      </c>
      <c r="C54" s="180"/>
      <c r="D54" s="180"/>
      <c r="E54" s="189" t="s">
        <v>88</v>
      </c>
      <c r="F54" s="190"/>
      <c r="G54" s="190"/>
      <c r="H54" s="190"/>
      <c r="I54" s="190"/>
      <c r="J54" s="190"/>
      <c r="K54" s="190"/>
      <c r="M54" s="173"/>
    </row>
    <row r="55" spans="1:13" ht="153" customHeight="1" x14ac:dyDescent="0.2">
      <c r="A55" s="254"/>
      <c r="B55" s="63" t="s">
        <v>1</v>
      </c>
      <c r="C55" s="40" t="s">
        <v>2</v>
      </c>
      <c r="D55" s="63" t="s">
        <v>3</v>
      </c>
      <c r="E55" s="146" t="s">
        <v>180</v>
      </c>
      <c r="F55" s="64" t="s">
        <v>5</v>
      </c>
      <c r="G55" s="64" t="s">
        <v>162</v>
      </c>
      <c r="H55" s="64" t="s">
        <v>163</v>
      </c>
      <c r="I55" s="64" t="s">
        <v>8</v>
      </c>
      <c r="J55" s="64" t="s">
        <v>9</v>
      </c>
      <c r="K55" s="65" t="s">
        <v>164</v>
      </c>
    </row>
    <row r="56" spans="1:13" ht="38.25" customHeight="1" x14ac:dyDescent="0.2">
      <c r="A56" s="254"/>
      <c r="B56" s="36" t="s">
        <v>11</v>
      </c>
      <c r="C56" s="35" t="s">
        <v>96</v>
      </c>
      <c r="D56" s="70">
        <f>+D25</f>
        <v>19</v>
      </c>
      <c r="E56" s="38">
        <f>+'PROFORMA 5 ANEXO 1'!E50</f>
        <v>0</v>
      </c>
      <c r="F56" s="37">
        <f>+E56*10/100+E56</f>
        <v>0</v>
      </c>
      <c r="G56" s="37">
        <f>+F56*10%</f>
        <v>0</v>
      </c>
      <c r="H56" s="37">
        <f>+G56*0.19</f>
        <v>0</v>
      </c>
      <c r="I56" s="38">
        <f>F56+H56</f>
        <v>0</v>
      </c>
      <c r="J56" s="39">
        <v>1.5</v>
      </c>
      <c r="K56" s="66">
        <f t="shared" ref="K56:K63" si="14">+D56*I56*J56</f>
        <v>0</v>
      </c>
    </row>
    <row r="57" spans="1:13" ht="46.5" customHeight="1" x14ac:dyDescent="0.2">
      <c r="A57" s="254"/>
      <c r="B57" s="36" t="s">
        <v>12</v>
      </c>
      <c r="C57" s="35" t="s">
        <v>97</v>
      </c>
      <c r="D57" s="70">
        <f t="shared" ref="D57:D63" si="15">+D26</f>
        <v>1</v>
      </c>
      <c r="E57" s="38">
        <f>+'PROFORMA 5 ANEXO 1'!E51</f>
        <v>0</v>
      </c>
      <c r="F57" s="37">
        <f>+E57*8/100+E57</f>
        <v>0</v>
      </c>
      <c r="G57" s="37">
        <f t="shared" ref="G57:G63" si="16">+F57*10%</f>
        <v>0</v>
      </c>
      <c r="H57" s="37">
        <f t="shared" ref="H57:H63" si="17">+G57*0.19</f>
        <v>0</v>
      </c>
      <c r="I57" s="38">
        <f t="shared" ref="I57:I63" si="18">F57+H57</f>
        <v>0</v>
      </c>
      <c r="J57" s="39">
        <v>1.5</v>
      </c>
      <c r="K57" s="66">
        <f t="shared" si="14"/>
        <v>0</v>
      </c>
    </row>
    <row r="58" spans="1:13" x14ac:dyDescent="0.2">
      <c r="A58" s="254"/>
      <c r="B58" s="36" t="s">
        <v>13</v>
      </c>
      <c r="C58" s="35" t="s">
        <v>158</v>
      </c>
      <c r="D58" s="70">
        <f t="shared" si="15"/>
        <v>10</v>
      </c>
      <c r="E58" s="38">
        <f>+'PROFORMA 5 ANEXO 1'!E52</f>
        <v>0</v>
      </c>
      <c r="F58" s="37">
        <f>+E58*8/100+E58</f>
        <v>0</v>
      </c>
      <c r="G58" s="37">
        <f t="shared" si="16"/>
        <v>0</v>
      </c>
      <c r="H58" s="37">
        <f t="shared" si="17"/>
        <v>0</v>
      </c>
      <c r="I58" s="38">
        <f t="shared" si="18"/>
        <v>0</v>
      </c>
      <c r="J58" s="39">
        <v>1.5</v>
      </c>
      <c r="K58" s="66">
        <f t="shared" si="14"/>
        <v>0</v>
      </c>
    </row>
    <row r="59" spans="1:13" x14ac:dyDescent="0.2">
      <c r="A59" s="254"/>
      <c r="B59" s="36" t="s">
        <v>14</v>
      </c>
      <c r="C59" s="35" t="s">
        <v>156</v>
      </c>
      <c r="D59" s="70">
        <f t="shared" si="15"/>
        <v>0</v>
      </c>
      <c r="E59" s="38">
        <f>+'PROFORMA 5 ANEXO 1'!E53</f>
        <v>0</v>
      </c>
      <c r="F59" s="37">
        <f>+E59*8/100+E59</f>
        <v>0</v>
      </c>
      <c r="G59" s="37">
        <f t="shared" si="16"/>
        <v>0</v>
      </c>
      <c r="H59" s="37">
        <f t="shared" si="17"/>
        <v>0</v>
      </c>
      <c r="I59" s="38">
        <f t="shared" si="18"/>
        <v>0</v>
      </c>
      <c r="J59" s="39">
        <v>1.5</v>
      </c>
      <c r="K59" s="66">
        <f t="shared" si="14"/>
        <v>0</v>
      </c>
    </row>
    <row r="60" spans="1:13" x14ac:dyDescent="0.2">
      <c r="A60" s="254"/>
      <c r="B60" s="36" t="s">
        <v>15</v>
      </c>
      <c r="C60" s="35" t="s">
        <v>98</v>
      </c>
      <c r="D60" s="70">
        <f t="shared" si="15"/>
        <v>2</v>
      </c>
      <c r="E60" s="38">
        <f>+'PROFORMA 5 ANEXO 1'!E54</f>
        <v>0</v>
      </c>
      <c r="F60" s="37">
        <f>+E60*11/100+E60</f>
        <v>0</v>
      </c>
      <c r="G60" s="37">
        <f t="shared" si="16"/>
        <v>0</v>
      </c>
      <c r="H60" s="37">
        <f t="shared" si="17"/>
        <v>0</v>
      </c>
      <c r="I60" s="38">
        <f t="shared" si="18"/>
        <v>0</v>
      </c>
      <c r="J60" s="39">
        <v>1.5</v>
      </c>
      <c r="K60" s="66">
        <f t="shared" si="14"/>
        <v>0</v>
      </c>
    </row>
    <row r="61" spans="1:13" ht="42" x14ac:dyDescent="0.2">
      <c r="A61" s="254"/>
      <c r="B61" s="36" t="s">
        <v>16</v>
      </c>
      <c r="C61" s="35" t="s">
        <v>157</v>
      </c>
      <c r="D61" s="70">
        <f t="shared" si="15"/>
        <v>1</v>
      </c>
      <c r="E61" s="38">
        <f>+'PROFORMA 5 ANEXO 1'!E55</f>
        <v>0</v>
      </c>
      <c r="F61" s="37">
        <f>+E61*8/100+E61</f>
        <v>0</v>
      </c>
      <c r="G61" s="37">
        <f t="shared" si="16"/>
        <v>0</v>
      </c>
      <c r="H61" s="37">
        <f t="shared" si="17"/>
        <v>0</v>
      </c>
      <c r="I61" s="38">
        <f t="shared" si="18"/>
        <v>0</v>
      </c>
      <c r="J61" s="39">
        <v>1.5</v>
      </c>
      <c r="K61" s="66">
        <f t="shared" si="14"/>
        <v>0</v>
      </c>
    </row>
    <row r="62" spans="1:13" ht="42" x14ac:dyDescent="0.2">
      <c r="A62" s="254"/>
      <c r="B62" s="36" t="s">
        <v>18</v>
      </c>
      <c r="C62" s="35" t="s">
        <v>184</v>
      </c>
      <c r="D62" s="70">
        <f t="shared" si="15"/>
        <v>0</v>
      </c>
      <c r="E62" s="38">
        <f>+'PROFORMA 5 ANEXO 1'!E56</f>
        <v>0</v>
      </c>
      <c r="F62" s="37">
        <f>+E62*10/100+E62</f>
        <v>0</v>
      </c>
      <c r="G62" s="37">
        <f t="shared" si="16"/>
        <v>0</v>
      </c>
      <c r="H62" s="37">
        <f t="shared" si="17"/>
        <v>0</v>
      </c>
      <c r="I62" s="38">
        <f t="shared" si="18"/>
        <v>0</v>
      </c>
      <c r="J62" s="39">
        <v>1.5</v>
      </c>
      <c r="K62" s="66">
        <f t="shared" si="14"/>
        <v>0</v>
      </c>
    </row>
    <row r="63" spans="1:13" ht="42" x14ac:dyDescent="0.2">
      <c r="A63" s="254"/>
      <c r="B63" s="36" t="s">
        <v>19</v>
      </c>
      <c r="C63" s="35" t="s">
        <v>159</v>
      </c>
      <c r="D63" s="70">
        <f t="shared" si="15"/>
        <v>1</v>
      </c>
      <c r="E63" s="38">
        <f>+'PROFORMA 5 ANEXO 1'!E57</f>
        <v>0</v>
      </c>
      <c r="F63" s="37">
        <f>+E63*8/100+E63</f>
        <v>0</v>
      </c>
      <c r="G63" s="37">
        <f t="shared" si="16"/>
        <v>0</v>
      </c>
      <c r="H63" s="37">
        <f t="shared" si="17"/>
        <v>0</v>
      </c>
      <c r="I63" s="38">
        <f t="shared" si="18"/>
        <v>0</v>
      </c>
      <c r="J63" s="39">
        <v>1.5</v>
      </c>
      <c r="K63" s="66">
        <f t="shared" si="14"/>
        <v>0</v>
      </c>
    </row>
    <row r="64" spans="1:13" ht="22" x14ac:dyDescent="0.2">
      <c r="A64" s="254"/>
      <c r="B64" s="36"/>
      <c r="C64" s="40" t="str">
        <f>+C49</f>
        <v xml:space="preserve">TOTAL SERVICIOS REGULADOS </v>
      </c>
      <c r="D64" s="61">
        <f>SUM(D56:D63)</f>
        <v>34</v>
      </c>
      <c r="E64" s="38"/>
      <c r="F64" s="41"/>
      <c r="G64" s="41"/>
      <c r="H64" s="41"/>
      <c r="I64" s="38"/>
      <c r="J64" s="39"/>
      <c r="K64" s="66"/>
    </row>
    <row r="65" spans="1:16" ht="33.75" customHeight="1" x14ac:dyDescent="0.2">
      <c r="A65" s="254"/>
      <c r="B65" s="36" t="s">
        <v>46</v>
      </c>
      <c r="C65" s="43" t="s">
        <v>175</v>
      </c>
      <c r="D65" s="36">
        <v>1</v>
      </c>
      <c r="E65" s="38">
        <f>+'PROFORMA 5 ANEXO 2'!E14</f>
        <v>0</v>
      </c>
      <c r="F65" s="37" t="s">
        <v>188</v>
      </c>
      <c r="G65" s="38">
        <f>+E65*10/100</f>
        <v>0</v>
      </c>
      <c r="H65" s="38">
        <f>+G65*0.19</f>
        <v>0</v>
      </c>
      <c r="I65" s="38">
        <f>+E65+H65</f>
        <v>0</v>
      </c>
      <c r="J65" s="39">
        <v>1.5</v>
      </c>
      <c r="K65" s="66">
        <f>+I65*J65</f>
        <v>0</v>
      </c>
    </row>
    <row r="66" spans="1:16" ht="68.25" customHeight="1" x14ac:dyDescent="0.2">
      <c r="A66" s="254"/>
      <c r="B66" s="36" t="s">
        <v>62</v>
      </c>
      <c r="C66" s="44" t="s">
        <v>63</v>
      </c>
      <c r="D66" s="36">
        <v>1</v>
      </c>
      <c r="E66" s="38">
        <f>+'PROFORMA 5 ANEXO 2'!E15</f>
        <v>0</v>
      </c>
      <c r="F66" s="38" t="s">
        <v>188</v>
      </c>
      <c r="G66" s="38">
        <f>+E66*10/100</f>
        <v>0</v>
      </c>
      <c r="H66" s="38">
        <f>+G66*0.19</f>
        <v>0</v>
      </c>
      <c r="I66" s="38">
        <f>+E66+H66</f>
        <v>0</v>
      </c>
      <c r="J66" s="39">
        <v>1.5</v>
      </c>
      <c r="K66" s="66">
        <f>+I66*J66</f>
        <v>0</v>
      </c>
    </row>
    <row r="67" spans="1:16" s="50" customFormat="1" ht="38.25" customHeight="1" x14ac:dyDescent="0.2">
      <c r="A67" s="254"/>
      <c r="B67" s="69"/>
      <c r="C67" s="69"/>
      <c r="D67" s="69"/>
      <c r="E67" s="182" t="s">
        <v>77</v>
      </c>
      <c r="F67" s="182"/>
      <c r="G67" s="182"/>
      <c r="H67" s="182"/>
      <c r="I67" s="182"/>
      <c r="J67" s="182"/>
      <c r="K67" s="73">
        <f>SUM(K56:K66)</f>
        <v>0</v>
      </c>
    </row>
    <row r="68" spans="1:16" ht="53.25" customHeight="1" thickBot="1" x14ac:dyDescent="0.25">
      <c r="B68" s="33"/>
      <c r="C68" s="33"/>
      <c r="D68" s="33"/>
      <c r="E68" s="48"/>
      <c r="F68" s="48"/>
      <c r="G68" s="49"/>
    </row>
    <row r="69" spans="1:16" ht="60" customHeight="1" x14ac:dyDescent="0.2">
      <c r="B69" s="33"/>
      <c r="C69" s="33"/>
      <c r="D69" s="33"/>
      <c r="E69" s="48"/>
      <c r="F69" s="214">
        <v>5</v>
      </c>
      <c r="G69" s="217" t="s">
        <v>64</v>
      </c>
      <c r="H69" s="220" t="s">
        <v>21</v>
      </c>
      <c r="I69" s="220"/>
      <c r="J69" s="149" t="s">
        <v>172</v>
      </c>
    </row>
    <row r="70" spans="1:16" ht="60" customHeight="1" x14ac:dyDescent="0.2">
      <c r="B70" s="33"/>
      <c r="C70" s="33"/>
      <c r="D70" s="33"/>
      <c r="E70" s="48"/>
      <c r="F70" s="215"/>
      <c r="G70" s="218"/>
      <c r="H70" s="182">
        <v>2023</v>
      </c>
      <c r="I70" s="182"/>
      <c r="J70" s="150">
        <f>+K21+K36</f>
        <v>0</v>
      </c>
    </row>
    <row r="71" spans="1:16" ht="60" customHeight="1" x14ac:dyDescent="0.2">
      <c r="B71" s="33"/>
      <c r="C71" s="33"/>
      <c r="D71" s="33"/>
      <c r="E71" s="48"/>
      <c r="F71" s="215"/>
      <c r="G71" s="218"/>
      <c r="H71" s="182">
        <v>2024</v>
      </c>
      <c r="I71" s="182"/>
      <c r="J71" s="151">
        <f>+K52+K67</f>
        <v>0</v>
      </c>
    </row>
    <row r="72" spans="1:16" ht="37.5" customHeight="1" thickBot="1" x14ac:dyDescent="0.25">
      <c r="B72" s="33"/>
      <c r="C72" s="33"/>
      <c r="D72" s="33"/>
      <c r="E72" s="48"/>
      <c r="F72" s="216"/>
      <c r="G72" s="219"/>
      <c r="H72" s="221" t="s">
        <v>91</v>
      </c>
      <c r="I72" s="222"/>
      <c r="J72" s="152">
        <f>+J70+J71</f>
        <v>0</v>
      </c>
    </row>
    <row r="74" spans="1:16" x14ac:dyDescent="0.2">
      <c r="O74" s="2"/>
      <c r="P74" s="1"/>
    </row>
    <row r="75" spans="1:16" x14ac:dyDescent="0.2">
      <c r="O75" s="2"/>
      <c r="P75" s="1"/>
    </row>
    <row r="76" spans="1:16" x14ac:dyDescent="0.2">
      <c r="O76" s="2"/>
      <c r="P76" s="1"/>
    </row>
    <row r="77" spans="1:16" x14ac:dyDescent="0.2">
      <c r="O77" s="2"/>
      <c r="P77" s="1"/>
    </row>
    <row r="78" spans="1:16" x14ac:dyDescent="0.2">
      <c r="O78" s="2"/>
      <c r="P78" s="1"/>
    </row>
    <row r="79" spans="1:16" x14ac:dyDescent="0.2">
      <c r="O79" s="2"/>
      <c r="P79" s="1"/>
    </row>
    <row r="80" spans="1:16" x14ac:dyDescent="0.2">
      <c r="O80" s="2"/>
      <c r="P80" s="1"/>
    </row>
    <row r="81" spans="15:16" x14ac:dyDescent="0.2">
      <c r="O81" s="2"/>
      <c r="P81" s="1"/>
    </row>
    <row r="82" spans="15:16" x14ac:dyDescent="0.2">
      <c r="O82" s="2"/>
      <c r="P82" s="1"/>
    </row>
    <row r="83" spans="15:16" x14ac:dyDescent="0.2">
      <c r="O83" s="2"/>
      <c r="P83" s="1"/>
    </row>
    <row r="84" spans="15:16" x14ac:dyDescent="0.2">
      <c r="O84" s="2"/>
      <c r="P84" s="1"/>
    </row>
    <row r="85" spans="15:16" x14ac:dyDescent="0.2">
      <c r="O85" s="2"/>
      <c r="P85" s="1"/>
    </row>
    <row r="86" spans="15:16" x14ac:dyDescent="0.2">
      <c r="O86" s="2"/>
      <c r="P86" s="1"/>
    </row>
    <row r="87" spans="15:16" x14ac:dyDescent="0.2">
      <c r="O87" s="2"/>
      <c r="P87" s="1"/>
    </row>
    <row r="88" spans="15:16" x14ac:dyDescent="0.2">
      <c r="O88" s="2"/>
      <c r="P88" s="1"/>
    </row>
    <row r="89" spans="15:16" x14ac:dyDescent="0.2">
      <c r="O89" s="2"/>
      <c r="P89" s="1"/>
    </row>
    <row r="90" spans="15:16" x14ac:dyDescent="0.2">
      <c r="O90" s="2"/>
      <c r="P90" s="1"/>
    </row>
    <row r="91" spans="15:16" x14ac:dyDescent="0.2">
      <c r="O91" s="2"/>
      <c r="P91" s="1"/>
    </row>
    <row r="92" spans="15:16" x14ac:dyDescent="0.2">
      <c r="O92" s="2"/>
      <c r="P92" s="1"/>
    </row>
    <row r="93" spans="15:16" x14ac:dyDescent="0.2">
      <c r="O93" s="2"/>
      <c r="P93" s="1"/>
    </row>
    <row r="94" spans="15:16" x14ac:dyDescent="0.2">
      <c r="O94" s="2"/>
      <c r="P94" s="1"/>
    </row>
    <row r="95" spans="15:16" x14ac:dyDescent="0.2">
      <c r="O95" s="2"/>
      <c r="P95" s="1"/>
    </row>
    <row r="96" spans="15:16" x14ac:dyDescent="0.2">
      <c r="O96" s="2"/>
      <c r="P96" s="1"/>
    </row>
    <row r="97" spans="2:16" x14ac:dyDescent="0.2">
      <c r="O97" s="2"/>
      <c r="P97" s="1"/>
    </row>
    <row r="98" spans="2:16" x14ac:dyDescent="0.2">
      <c r="O98" s="2"/>
      <c r="P98" s="1"/>
    </row>
    <row r="99" spans="2:16" x14ac:dyDescent="0.2">
      <c r="O99" s="2"/>
      <c r="P99" s="1"/>
    </row>
    <row r="100" spans="2:16" x14ac:dyDescent="0.2">
      <c r="O100" s="2"/>
      <c r="P100" s="1"/>
    </row>
    <row r="101" spans="2:16" x14ac:dyDescent="0.2">
      <c r="O101" s="2"/>
      <c r="P101" s="1"/>
    </row>
    <row r="102" spans="2:16" x14ac:dyDescent="0.2">
      <c r="B102" s="1"/>
      <c r="C102" s="5"/>
      <c r="D102" s="31"/>
      <c r="E102" s="5"/>
      <c r="F102" s="5"/>
      <c r="G102" s="1"/>
      <c r="H102" s="1"/>
      <c r="I102" s="1"/>
      <c r="J102" s="1"/>
      <c r="K102" s="5"/>
      <c r="L102" s="5"/>
      <c r="M102" s="1"/>
      <c r="N102" s="1"/>
      <c r="O102" s="2"/>
      <c r="P102" s="1"/>
    </row>
    <row r="103" spans="2:16" x14ac:dyDescent="0.2">
      <c r="B103" s="1"/>
      <c r="C103" s="5"/>
      <c r="D103" s="31"/>
      <c r="E103" s="5"/>
      <c r="F103" s="5"/>
      <c r="G103" s="1"/>
      <c r="H103" s="1"/>
      <c r="I103" s="1"/>
      <c r="J103" s="1"/>
      <c r="K103" s="5"/>
      <c r="L103" s="5"/>
      <c r="M103" s="1"/>
      <c r="N103" s="1"/>
      <c r="O103" s="2"/>
      <c r="P103" s="1"/>
    </row>
    <row r="104" spans="2:16" x14ac:dyDescent="0.2">
      <c r="B104" s="1"/>
      <c r="C104" s="5"/>
      <c r="D104" s="31"/>
      <c r="E104" s="5"/>
      <c r="F104" s="5"/>
      <c r="G104" s="1"/>
      <c r="H104" s="1"/>
      <c r="I104" s="1"/>
      <c r="J104" s="1"/>
      <c r="K104" s="5"/>
      <c r="L104" s="5"/>
      <c r="M104" s="1"/>
      <c r="N104" s="1"/>
      <c r="O104" s="2"/>
      <c r="P104" s="1"/>
    </row>
    <row r="105" spans="2:16" x14ac:dyDescent="0.2">
      <c r="B105" s="1"/>
      <c r="C105" s="5"/>
      <c r="D105" s="31"/>
      <c r="E105" s="5"/>
      <c r="F105" s="5"/>
      <c r="G105" s="1"/>
      <c r="H105" s="1"/>
      <c r="I105" s="1"/>
      <c r="J105" s="1"/>
      <c r="K105" s="5"/>
      <c r="L105" s="5"/>
      <c r="M105" s="1"/>
      <c r="N105" s="1"/>
      <c r="O105" s="2"/>
      <c r="P105" s="1"/>
    </row>
    <row r="106" spans="2:16" x14ac:dyDescent="0.2">
      <c r="B106" s="1"/>
      <c r="C106" s="5"/>
      <c r="D106" s="31"/>
      <c r="E106" s="5"/>
      <c r="F106" s="5"/>
      <c r="G106" s="1"/>
      <c r="H106" s="1"/>
      <c r="I106" s="1"/>
      <c r="J106" s="1"/>
      <c r="K106" s="5"/>
      <c r="L106" s="5"/>
      <c r="M106" s="1"/>
      <c r="N106" s="1"/>
      <c r="O106" s="2"/>
      <c r="P106" s="1"/>
    </row>
    <row r="107" spans="2:16" x14ac:dyDescent="0.2">
      <c r="B107" s="1"/>
      <c r="C107" s="5"/>
      <c r="D107" s="31"/>
      <c r="E107" s="5"/>
      <c r="F107" s="5"/>
      <c r="G107" s="1"/>
      <c r="H107" s="1"/>
      <c r="I107" s="1"/>
      <c r="J107" s="1"/>
      <c r="K107" s="5"/>
      <c r="L107" s="5"/>
      <c r="M107" s="1"/>
      <c r="N107" s="1"/>
      <c r="O107" s="2"/>
      <c r="P107" s="1"/>
    </row>
    <row r="108" spans="2:16" x14ac:dyDescent="0.2">
      <c r="B108" s="1"/>
      <c r="C108" s="5"/>
      <c r="D108" s="31"/>
      <c r="E108" s="5"/>
      <c r="F108" s="5"/>
      <c r="G108" s="1"/>
      <c r="H108" s="1"/>
      <c r="I108" s="1"/>
      <c r="J108" s="1"/>
      <c r="K108" s="5"/>
      <c r="L108" s="5"/>
      <c r="M108" s="1"/>
      <c r="N108" s="1"/>
      <c r="O108" s="2"/>
      <c r="P108" s="1"/>
    </row>
    <row r="109" spans="2:16" x14ac:dyDescent="0.2">
      <c r="B109" s="1"/>
      <c r="C109" s="5"/>
      <c r="D109" s="31"/>
      <c r="E109" s="5"/>
      <c r="F109" s="5"/>
      <c r="G109" s="1"/>
      <c r="H109" s="1"/>
      <c r="I109" s="1"/>
      <c r="J109" s="1"/>
      <c r="K109" s="5"/>
      <c r="L109" s="5"/>
      <c r="M109" s="1"/>
      <c r="N109" s="1"/>
      <c r="O109" s="2"/>
      <c r="P109" s="1"/>
    </row>
    <row r="110" spans="2:16" x14ac:dyDescent="0.2">
      <c r="B110" s="1"/>
      <c r="C110" s="5"/>
      <c r="D110" s="31"/>
      <c r="E110" s="5"/>
      <c r="F110" s="5"/>
      <c r="G110" s="1"/>
      <c r="H110" s="1"/>
      <c r="I110" s="1"/>
      <c r="J110" s="1"/>
      <c r="K110" s="5"/>
      <c r="L110" s="5"/>
      <c r="M110" s="1"/>
      <c r="N110" s="1"/>
      <c r="O110" s="2"/>
      <c r="P110" s="1"/>
    </row>
    <row r="111" spans="2:16" x14ac:dyDescent="0.2">
      <c r="B111" s="1"/>
      <c r="C111" s="5"/>
      <c r="D111" s="31"/>
      <c r="E111" s="5"/>
      <c r="F111" s="5"/>
      <c r="G111" s="1"/>
      <c r="H111" s="1"/>
      <c r="I111" s="1"/>
      <c r="J111" s="1"/>
      <c r="K111" s="5"/>
      <c r="L111" s="5"/>
      <c r="M111" s="1"/>
      <c r="N111" s="1"/>
      <c r="O111" s="2"/>
      <c r="P111" s="1"/>
    </row>
  </sheetData>
  <mergeCells count="27">
    <mergeCell ref="H69:I69"/>
    <mergeCell ref="H70:I70"/>
    <mergeCell ref="H71:I71"/>
    <mergeCell ref="A1:K1"/>
    <mergeCell ref="A2:K2"/>
    <mergeCell ref="A3:K3"/>
    <mergeCell ref="A5:K5"/>
    <mergeCell ref="A8:A21"/>
    <mergeCell ref="B8:D8"/>
    <mergeCell ref="E8:K8"/>
    <mergeCell ref="E21:J21"/>
    <mergeCell ref="H72:I72"/>
    <mergeCell ref="F69:F72"/>
    <mergeCell ref="G69:G72"/>
    <mergeCell ref="A23:A36"/>
    <mergeCell ref="B23:D23"/>
    <mergeCell ref="E23:K23"/>
    <mergeCell ref="E36:J36"/>
    <mergeCell ref="B38:D38"/>
    <mergeCell ref="A54:A67"/>
    <mergeCell ref="B54:D54"/>
    <mergeCell ref="E54:K54"/>
    <mergeCell ref="E67:J67"/>
    <mergeCell ref="A39:A52"/>
    <mergeCell ref="B39:D39"/>
    <mergeCell ref="E39:K39"/>
    <mergeCell ref="E52:J52"/>
  </mergeCells>
  <pageMargins left="0.7" right="0.7" top="0.75" bottom="0.75" header="0.3" footer="0.3"/>
  <pageSetup orientation="portrait" r:id="rId1"/>
  <ignoredErrors>
    <ignoredError sqref="F45:F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2022</vt:lpstr>
      <vt:lpstr>2022 (2)</vt:lpstr>
      <vt:lpstr>Formula Circular Nº 145</vt:lpstr>
      <vt:lpstr>Circular</vt:lpstr>
      <vt:lpstr>Servicios CLASE</vt:lpstr>
      <vt:lpstr>Servicios NO clase </vt:lpstr>
      <vt:lpstr>PROFORMA 5 ANEXO 1</vt:lpstr>
      <vt:lpstr>PROFORMA 5 ANEXO 2</vt:lpstr>
      <vt:lpstr>PROFORMA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UPN</dc:creator>
  <cp:lastModifiedBy>Microsoft Office User</cp:lastModifiedBy>
  <cp:lastPrinted>2022-12-13T21:39:03Z</cp:lastPrinted>
  <dcterms:created xsi:type="dcterms:W3CDTF">2021-01-18T20:19:29Z</dcterms:created>
  <dcterms:modified xsi:type="dcterms:W3CDTF">2022-12-14T00:30:46Z</dcterms:modified>
</cp:coreProperties>
</file>